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8-BaoNguyen\Desktop\Antigravity\D8-Phân tích dự toán\data\"/>
    </mc:Choice>
  </mc:AlternateContent>
  <xr:revisionPtr revIDLastSave="0" documentId="13_ncr:1_{E269187F-8501-4D21-83E2-766F2DB3EED1}" xr6:coauthVersionLast="47" xr6:coauthVersionMax="47" xr10:uidLastSave="{00000000-0000-0000-0000-000000000000}"/>
  <bookViews>
    <workbookView xWindow="-38510" yWindow="-110" windowWidth="38620" windowHeight="21100" xr2:uid="{00000000-000D-0000-FFFF-FFFF00000000}"/>
  </bookViews>
  <sheets>
    <sheet name="1.Bang Tong Hop TMDT" sheetId="1" r:id="rId1"/>
    <sheet name="3.CSDL Don Gia &amp; Delta Options" sheetId="2" r:id="rId2"/>
    <sheet name="2.Tieu Chuan Ban Giao" sheetId="3" r:id="rId3"/>
    <sheet name="4.Doi Soat Khai Toan TMDT" sheetId="4" r:id="rId4"/>
    <sheet name="5.Noi Suy Dinh Muc TT36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5" l="1"/>
  <c r="L11" i="5"/>
  <c r="L10" i="5"/>
  <c r="L9" i="5"/>
  <c r="L8" i="5"/>
  <c r="G12" i="4"/>
  <c r="L27" i="3"/>
  <c r="H27" i="3"/>
  <c r="N27" i="3" s="1"/>
  <c r="O27" i="3" s="1"/>
  <c r="L26" i="3"/>
  <c r="H26" i="3"/>
  <c r="N26" i="3" s="1"/>
  <c r="M25" i="3"/>
  <c r="L25" i="3"/>
  <c r="K25" i="3"/>
  <c r="I25" i="3"/>
  <c r="H25" i="3"/>
  <c r="G25" i="3"/>
  <c r="E25" i="3"/>
  <c r="K24" i="3"/>
  <c r="L24" i="3" s="1"/>
  <c r="G24" i="3"/>
  <c r="H24" i="3" s="1"/>
  <c r="N24" i="3" s="1"/>
  <c r="O24" i="3" s="1"/>
  <c r="K23" i="3"/>
  <c r="L23" i="3" s="1"/>
  <c r="G23" i="3"/>
  <c r="H23" i="3" s="1"/>
  <c r="K22" i="3"/>
  <c r="G22" i="3"/>
  <c r="L21" i="3"/>
  <c r="H21" i="3"/>
  <c r="M20" i="3"/>
  <c r="I20" i="3"/>
  <c r="E20" i="3"/>
  <c r="K19" i="3"/>
  <c r="L19" i="3" s="1"/>
  <c r="G19" i="3"/>
  <c r="H19" i="3" s="1"/>
  <c r="K18" i="3"/>
  <c r="G18" i="3"/>
  <c r="K17" i="3"/>
  <c r="L17" i="3" s="1"/>
  <c r="G17" i="3"/>
  <c r="H17" i="3" s="1"/>
  <c r="L16" i="3"/>
  <c r="H16" i="3"/>
  <c r="K15" i="3"/>
  <c r="L15" i="3" s="1"/>
  <c r="G15" i="3"/>
  <c r="H15" i="3" s="1"/>
  <c r="L14" i="3"/>
  <c r="H14" i="3"/>
  <c r="N14" i="3" s="1"/>
  <c r="M13" i="3"/>
  <c r="I13" i="3"/>
  <c r="E13" i="3"/>
  <c r="L12" i="3"/>
  <c r="L9" i="3" s="1"/>
  <c r="H12" i="3"/>
  <c r="L11" i="3"/>
  <c r="H11" i="3"/>
  <c r="L10" i="3"/>
  <c r="H10" i="3"/>
  <c r="N10" i="3" s="1"/>
  <c r="M9" i="3"/>
  <c r="M28" i="3" s="1"/>
  <c r="K9" i="3"/>
  <c r="I9" i="3"/>
  <c r="I28" i="3" s="1"/>
  <c r="H9" i="3"/>
  <c r="G9" i="3"/>
  <c r="E9" i="3"/>
  <c r="E28" i="3" s="1"/>
  <c r="M47" i="1"/>
  <c r="L42" i="1"/>
  <c r="L38" i="1"/>
  <c r="L25" i="1"/>
  <c r="L24" i="1"/>
  <c r="L23" i="1"/>
  <c r="L22" i="1"/>
  <c r="L21" i="1"/>
  <c r="L20" i="1"/>
  <c r="L19" i="1"/>
  <c r="L18" i="1"/>
  <c r="J15" i="1"/>
  <c r="H15" i="1"/>
  <c r="I15" i="1" s="1"/>
  <c r="F15" i="1"/>
  <c r="J14" i="1"/>
  <c r="J13" i="1"/>
  <c r="J12" i="1"/>
  <c r="J11" i="1"/>
  <c r="H11" i="1"/>
  <c r="I11" i="1" s="1"/>
  <c r="F11" i="1"/>
  <c r="J10" i="1"/>
  <c r="H10" i="1"/>
  <c r="I10" i="1" s="1"/>
  <c r="F10" i="1"/>
  <c r="J9" i="1"/>
  <c r="H9" i="1"/>
  <c r="I9" i="1" s="1"/>
  <c r="F9" i="1"/>
  <c r="G9" i="1" s="1"/>
  <c r="J8" i="1"/>
  <c r="N16" i="3" l="1"/>
  <c r="O16" i="3" s="1"/>
  <c r="N11" i="3"/>
  <c r="O11" i="3" s="1"/>
  <c r="N12" i="3"/>
  <c r="O12" i="3" s="1"/>
  <c r="N19" i="3"/>
  <c r="O19" i="3" s="1"/>
  <c r="K9" i="1"/>
  <c r="K15" i="1"/>
  <c r="G15" i="1"/>
  <c r="O26" i="3"/>
  <c r="N25" i="3"/>
  <c r="O25" i="3" s="1"/>
  <c r="K20" i="3"/>
  <c r="L22" i="3"/>
  <c r="H22" i="3"/>
  <c r="N22" i="3" s="1"/>
  <c r="O22" i="3" s="1"/>
  <c r="G20" i="3"/>
  <c r="N21" i="3"/>
  <c r="F14" i="1"/>
  <c r="H20" i="3"/>
  <c r="L18" i="3"/>
  <c r="K13" i="3"/>
  <c r="K28" i="3" s="1"/>
  <c r="H18" i="3"/>
  <c r="G13" i="3"/>
  <c r="N17" i="3"/>
  <c r="O17" i="3" s="1"/>
  <c r="F13" i="1"/>
  <c r="H12" i="1"/>
  <c r="N15" i="3"/>
  <c r="O15" i="3" s="1"/>
  <c r="F12" i="1"/>
  <c r="H13" i="3"/>
  <c r="O14" i="3"/>
  <c r="O10" i="3"/>
  <c r="N9" i="3"/>
  <c r="L15" i="1"/>
  <c r="K11" i="1"/>
  <c r="G11" i="1"/>
  <c r="K10" i="1"/>
  <c r="G10" i="1"/>
  <c r="L9" i="1"/>
  <c r="J16" i="1"/>
  <c r="N23" i="3"/>
  <c r="O23" i="3" s="1"/>
  <c r="H14" i="1" l="1"/>
  <c r="I14" i="1" s="1"/>
  <c r="L20" i="3"/>
  <c r="O21" i="3"/>
  <c r="N20" i="3"/>
  <c r="O20" i="3" s="1"/>
  <c r="K14" i="1"/>
  <c r="G14" i="1"/>
  <c r="G13" i="1"/>
  <c r="I12" i="1"/>
  <c r="G12" i="1"/>
  <c r="K12" i="1"/>
  <c r="F8" i="1"/>
  <c r="O9" i="3"/>
  <c r="L11" i="1"/>
  <c r="L10" i="1"/>
  <c r="N18" i="3"/>
  <c r="G28" i="3"/>
  <c r="H28" i="3"/>
  <c r="H13" i="1"/>
  <c r="L13" i="3"/>
  <c r="I13" i="1" l="1"/>
  <c r="K13" i="1"/>
  <c r="L13" i="1" s="1"/>
  <c r="H8" i="1"/>
  <c r="L14" i="1"/>
  <c r="K8" i="1"/>
  <c r="L12" i="1"/>
  <c r="G8" i="1"/>
  <c r="F16" i="1"/>
  <c r="N13" i="3"/>
  <c r="O18" i="3"/>
  <c r="L28" i="3"/>
  <c r="H16" i="1" l="1"/>
  <c r="I16" i="1" s="1"/>
  <c r="I8" i="1"/>
  <c r="F14" i="5"/>
  <c r="F13" i="5"/>
  <c r="F11" i="5"/>
  <c r="F12" i="5"/>
  <c r="F10" i="5"/>
  <c r="F9" i="5"/>
  <c r="F8" i="5"/>
  <c r="E7" i="4"/>
  <c r="F7" i="4" s="1"/>
  <c r="K39" i="1"/>
  <c r="K37" i="1"/>
  <c r="K36" i="1"/>
  <c r="K35" i="1"/>
  <c r="K34" i="1"/>
  <c r="K33" i="1"/>
  <c r="K29" i="1"/>
  <c r="K28" i="1"/>
  <c r="K32" i="1"/>
  <c r="K31" i="1"/>
  <c r="K27" i="1"/>
  <c r="K26" i="1"/>
  <c r="K16" i="1"/>
  <c r="L8" i="1"/>
  <c r="J38" i="1"/>
  <c r="J19" i="1"/>
  <c r="J24" i="1"/>
  <c r="J42" i="1"/>
  <c r="J18" i="1"/>
  <c r="J23" i="1"/>
  <c r="J20" i="1"/>
  <c r="J21" i="1"/>
  <c r="J22" i="1"/>
  <c r="J25" i="1"/>
  <c r="N28" i="3"/>
  <c r="O28" i="3" s="1"/>
  <c r="O13" i="3"/>
  <c r="F19" i="1"/>
  <c r="G19" i="1" s="1"/>
  <c r="F20" i="1"/>
  <c r="G20" i="1" s="1"/>
  <c r="F21" i="1"/>
  <c r="G21" i="1" s="1"/>
  <c r="F23" i="1"/>
  <c r="G23" i="1" s="1"/>
  <c r="F24" i="1"/>
  <c r="G24" i="1" s="1"/>
  <c r="F18" i="1"/>
  <c r="G18" i="1" s="1"/>
  <c r="H23" i="1"/>
  <c r="I23" i="1" s="1"/>
  <c r="H20" i="1"/>
  <c r="I20" i="1" s="1"/>
  <c r="H22" i="1"/>
  <c r="I22" i="1" s="1"/>
  <c r="H24" i="1"/>
  <c r="I24" i="1" s="1"/>
  <c r="H38" i="1"/>
  <c r="I38" i="1" s="1"/>
  <c r="H42" i="1"/>
  <c r="I42" i="1" s="1"/>
  <c r="F22" i="1"/>
  <c r="G22" i="1" s="1"/>
  <c r="F25" i="1"/>
  <c r="G25" i="1" s="1"/>
  <c r="F38" i="1"/>
  <c r="G38" i="1" s="1"/>
  <c r="F42" i="1"/>
  <c r="G42" i="1" s="1"/>
  <c r="H19" i="1"/>
  <c r="I19" i="1" s="1"/>
  <c r="H18" i="1"/>
  <c r="I18" i="1" s="1"/>
  <c r="H21" i="1"/>
  <c r="I21" i="1" s="1"/>
  <c r="H25" i="1"/>
  <c r="I25" i="1" s="1"/>
  <c r="G16" i="1"/>
  <c r="G14" i="5" l="1"/>
  <c r="H14" i="5"/>
  <c r="I14" i="5"/>
  <c r="J14" i="5"/>
  <c r="G13" i="5"/>
  <c r="H13" i="5"/>
  <c r="I13" i="5"/>
  <c r="J13" i="5"/>
  <c r="G11" i="5"/>
  <c r="H11" i="5"/>
  <c r="I11" i="5"/>
  <c r="N11" i="5" s="1"/>
  <c r="J11" i="5"/>
  <c r="K11" i="5" s="1"/>
  <c r="M11" i="5" s="1"/>
  <c r="G12" i="5"/>
  <c r="H12" i="5"/>
  <c r="I12" i="5"/>
  <c r="J12" i="5"/>
  <c r="G10" i="5"/>
  <c r="H10" i="5"/>
  <c r="I10" i="5"/>
  <c r="N10" i="5" s="1"/>
  <c r="J10" i="5"/>
  <c r="G9" i="5"/>
  <c r="H9" i="5"/>
  <c r="I9" i="5"/>
  <c r="J9" i="5"/>
  <c r="I8" i="5"/>
  <c r="J8" i="5"/>
  <c r="H8" i="5"/>
  <c r="G8" i="5"/>
  <c r="G7" i="4"/>
  <c r="H7" i="4"/>
  <c r="L39" i="1"/>
  <c r="F39" i="1"/>
  <c r="G39" i="1" s="1"/>
  <c r="H39" i="1"/>
  <c r="I39" i="1" s="1"/>
  <c r="J39" i="1"/>
  <c r="L37" i="1"/>
  <c r="F37" i="1"/>
  <c r="G37" i="1" s="1"/>
  <c r="H37" i="1"/>
  <c r="I37" i="1" s="1"/>
  <c r="J37" i="1"/>
  <c r="L36" i="1"/>
  <c r="F36" i="1"/>
  <c r="G36" i="1" s="1"/>
  <c r="H36" i="1"/>
  <c r="I36" i="1" s="1"/>
  <c r="J36" i="1"/>
  <c r="L35" i="1"/>
  <c r="F35" i="1"/>
  <c r="G35" i="1" s="1"/>
  <c r="H35" i="1"/>
  <c r="I35" i="1" s="1"/>
  <c r="J35" i="1"/>
  <c r="L34" i="1"/>
  <c r="J34" i="1"/>
  <c r="F34" i="1"/>
  <c r="G34" i="1" s="1"/>
  <c r="H34" i="1"/>
  <c r="I34" i="1" s="1"/>
  <c r="F33" i="1"/>
  <c r="G33" i="1" s="1"/>
  <c r="J33" i="1"/>
  <c r="L33" i="1"/>
  <c r="H33" i="1"/>
  <c r="I33" i="1" s="1"/>
  <c r="L29" i="1"/>
  <c r="F29" i="1"/>
  <c r="G29" i="1" s="1"/>
  <c r="H29" i="1"/>
  <c r="I29" i="1" s="1"/>
  <c r="J29" i="1"/>
  <c r="H28" i="1"/>
  <c r="I28" i="1" s="1"/>
  <c r="J28" i="1"/>
  <c r="L28" i="1"/>
  <c r="F28" i="1"/>
  <c r="G28" i="1" s="1"/>
  <c r="L32" i="1"/>
  <c r="J32" i="1"/>
  <c r="F32" i="1"/>
  <c r="G32" i="1" s="1"/>
  <c r="H32" i="1"/>
  <c r="I32" i="1" s="1"/>
  <c r="L31" i="1"/>
  <c r="F31" i="1"/>
  <c r="G31" i="1" s="1"/>
  <c r="H31" i="1"/>
  <c r="I31" i="1" s="1"/>
  <c r="J31" i="1"/>
  <c r="K30" i="1"/>
  <c r="L27" i="1"/>
  <c r="H27" i="1"/>
  <c r="I27" i="1" s="1"/>
  <c r="J27" i="1"/>
  <c r="F27" i="1"/>
  <c r="G27" i="1" s="1"/>
  <c r="L26" i="1"/>
  <c r="F26" i="1"/>
  <c r="G26" i="1" s="1"/>
  <c r="J26" i="1"/>
  <c r="K17" i="1"/>
  <c r="H26" i="1"/>
  <c r="I26" i="1" s="1"/>
  <c r="L16" i="1"/>
  <c r="E8" i="4"/>
  <c r="F8" i="4" s="1"/>
  <c r="N13" i="5" l="1"/>
  <c r="K12" i="5"/>
  <c r="M12" i="5" s="1"/>
  <c r="N8" i="5"/>
  <c r="K14" i="5"/>
  <c r="K9" i="5"/>
  <c r="M9" i="5" s="1"/>
  <c r="N14" i="5"/>
  <c r="K13" i="5"/>
  <c r="N12" i="5"/>
  <c r="K10" i="5"/>
  <c r="M10" i="5" s="1"/>
  <c r="N9" i="5"/>
  <c r="K8" i="5"/>
  <c r="M8" i="5" s="1"/>
  <c r="F30" i="1"/>
  <c r="G30" i="1" s="1"/>
  <c r="H30" i="1"/>
  <c r="I30" i="1" s="1"/>
  <c r="J30" i="1"/>
  <c r="L30" i="1"/>
  <c r="E10" i="4"/>
  <c r="F10" i="4" s="1"/>
  <c r="K41" i="1"/>
  <c r="H17" i="1"/>
  <c r="J17" i="1"/>
  <c r="L17" i="1"/>
  <c r="E9" i="4"/>
  <c r="F9" i="4" s="1"/>
  <c r="F17" i="1"/>
  <c r="H8" i="4"/>
  <c r="G8" i="4"/>
  <c r="G10" i="4" l="1"/>
  <c r="H10" i="4"/>
  <c r="J41" i="1"/>
  <c r="J40" i="1" s="1"/>
  <c r="H41" i="1"/>
  <c r="F41" i="1"/>
  <c r="K40" i="1"/>
  <c r="L41" i="1"/>
  <c r="I17" i="1"/>
  <c r="G9" i="4"/>
  <c r="H9" i="4"/>
  <c r="G17" i="1"/>
  <c r="I41" i="1" l="1"/>
  <c r="H40" i="1"/>
  <c r="G41" i="1"/>
  <c r="F40" i="1"/>
  <c r="K43" i="1"/>
  <c r="K47" i="1" s="1"/>
  <c r="M40" i="1" s="1"/>
  <c r="L40" i="1"/>
  <c r="E11" i="4"/>
  <c r="F11" i="4" s="1"/>
  <c r="I40" i="1" l="1"/>
  <c r="G40" i="1"/>
  <c r="M41" i="1"/>
  <c r="M8" i="1"/>
  <c r="M14" i="1"/>
  <c r="M13" i="1"/>
  <c r="M12" i="1"/>
  <c r="M10" i="1"/>
  <c r="M11" i="1"/>
  <c r="M9" i="1"/>
  <c r="M15" i="1"/>
  <c r="L47" i="1"/>
  <c r="E13" i="4"/>
  <c r="F13" i="4" s="1"/>
  <c r="M19" i="1"/>
  <c r="M21" i="1"/>
  <c r="M23" i="1"/>
  <c r="M24" i="1"/>
  <c r="M18" i="1"/>
  <c r="M20" i="1"/>
  <c r="M22" i="1"/>
  <c r="M25" i="1"/>
  <c r="M38" i="1"/>
  <c r="M42" i="1"/>
  <c r="M39" i="1"/>
  <c r="M37" i="1"/>
  <c r="M36" i="1"/>
  <c r="M35" i="1"/>
  <c r="M33" i="1"/>
  <c r="M32" i="1"/>
  <c r="M27" i="1"/>
  <c r="M34" i="1"/>
  <c r="M29" i="1"/>
  <c r="M28" i="1"/>
  <c r="M31" i="1"/>
  <c r="M26" i="1"/>
  <c r="M16" i="1"/>
  <c r="M30" i="1"/>
  <c r="M17" i="1"/>
  <c r="L43" i="1"/>
  <c r="M43" i="1"/>
  <c r="E12" i="4"/>
  <c r="F12" i="4" s="1"/>
  <c r="H12" i="4" s="1"/>
  <c r="F43" i="1"/>
  <c r="H43" i="1"/>
  <c r="J43" i="1"/>
  <c r="J47" i="1" s="1"/>
  <c r="G11" i="4"/>
  <c r="H11" i="4"/>
  <c r="H13" i="4" l="1"/>
  <c r="G13" i="4"/>
  <c r="G43" i="1"/>
  <c r="F47" i="1"/>
  <c r="G47" i="1" s="1"/>
  <c r="I43" i="1"/>
  <c r="H47" i="1"/>
  <c r="I47" i="1" s="1"/>
</calcChain>
</file>

<file path=xl/sharedStrings.xml><?xml version="1.0" encoding="utf-8"?>
<sst xmlns="http://schemas.openxmlformats.org/spreadsheetml/2006/main" count="627" uniqueCount="452">
  <si>
    <t>TỔNG CÔNG TY CỔ PHẦN PHÁT TRIỂN BẤT ĐỘNG SẢN VĂN PHÚ (VPI)</t>
  </si>
  <si>
    <t>DỰ ÁN CẢI TẠO XÂY DỰNG LẠI KHU TẬP THỂ TRƯƠNG ĐỊNH (MÃ DỰ ÁN: 01HNI023)</t>
  </si>
  <si>
    <t>BẢNG TỔNG HỢP CHI PHÍ XÂY DỰNG &amp; TỔNG MỨC ĐẦU TƯ ĐỘNG (BẢNG CÂY HỢP NHẤT)</t>
  </si>
  <si>
    <t>Quy mô: 119.876,45 m2 sàn XD (Hầm 28.540 m2, CT1 TĐC 45.372 m2, CT2 TM 74.505 m2, Hạ tầng 13.757 m2 đất, 1.065 căn hộ)</t>
  </si>
  <si>
    <t>STT / Mã Hiệu</t>
  </si>
  <si>
    <t>Khoản Mục Chi Phí &amp; Cấu Phần Công Trình</t>
  </si>
  <si>
    <t>Căn Cứ &amp; Công Thức Xác Định</t>
  </si>
  <si>
    <t>ĐVT</t>
  </si>
  <si>
    <t>Tòa CT1 - Tái Định Cư (45.371,85 m2)</t>
  </si>
  <si>
    <t>Suất CT1 (đ/m2)</t>
  </si>
  <si>
    <t>Tòa CT2 - Thương Mại (74.504,60 m2)</t>
  </si>
  <si>
    <t>Suất CT2 (đ/m2)</t>
  </si>
  <si>
    <t>Hạ Tầng Kỹ Thuật (13.757 m2 đất)</t>
  </si>
  <si>
    <t>Tổng Toàn Dự Án (đồng)</t>
  </si>
  <si>
    <t>Suất Toàn Khu (đ/m2)</t>
  </si>
  <si>
    <t>Tỷ Trọng (%)</t>
  </si>
  <si>
    <t>I</t>
  </si>
  <si>
    <t>CHI PHÍ XÂY DỰNG VÀ THIẾT BỊ (Gxd + Gtb)</t>
  </si>
  <si>
    <t>Tổng hợp từ 7 Khối công tác thi công xây lắp &amp; thiết bị</t>
  </si>
  <si>
    <t>đồng</t>
  </si>
  <si>
    <t>1</t>
  </si>
  <si>
    <t>Cọc khoan nhồi đại trà &amp; Tường vây hầm</t>
  </si>
  <si>
    <t>Link Bộ môn 1 (Mục 1.1)</t>
  </si>
  <si>
    <t>2</t>
  </si>
  <si>
    <t>Đào đất móng ngầm &amp; Kết cấu BTCT hầm</t>
  </si>
  <si>
    <t>Link Bộ môn 1 (Mục 1.2)</t>
  </si>
  <si>
    <t>3</t>
  </si>
  <si>
    <t>Khung BTCT phần thân (cột, dầm, sàn, lõi)</t>
  </si>
  <si>
    <t>Link Bộ môn 1 (Mục 1.3)</t>
  </si>
  <si>
    <t>4</t>
  </si>
  <si>
    <t>Xây thô &amp; hoàn thiện cơ bản (tường, trát, láng, thạch cao, sơn)</t>
  </si>
  <si>
    <t>Link Bộ môn 2 (Mục 2.1 + 2.2)</t>
  </si>
  <si>
    <t>5</t>
  </si>
  <si>
    <t>Hoàn thiện nội thất &amp; Bao che (cửa, kính, lát sàn, tủ bếp)</t>
  </si>
  <si>
    <t>Link Bộ môn 2 (Mục 2.3..2.6)</t>
  </si>
  <si>
    <t>6</t>
  </si>
  <si>
    <t>Hệ thống Cơ điện &amp; Thiết bị công trình (MEP, HVAC, thang máy)</t>
  </si>
  <si>
    <t>Link Bộ môn 3 (Mục 3.1..3.4)</t>
  </si>
  <si>
    <t>7</t>
  </si>
  <si>
    <t>Hạ tầng kỹ thuật ngoài nhà &amp; Cảnh quan sân vườn</t>
  </si>
  <si>
    <t>Link Bộ môn 4 (Mục 4.1 + 4.2)</t>
  </si>
  <si>
    <t>II</t>
  </si>
  <si>
    <t>CHI PHÍ QUẢN LÝ DỰ ÁN (Gqlda)</t>
  </si>
  <si>
    <t>Định mức NĐ 10/2021: 0,9420% x (Gxd + Gtb)</t>
  </si>
  <si>
    <t>III</t>
  </si>
  <si>
    <t>CHI PHÍ TƯ VẤN ĐẦU TƯ XÂY DỰNG (Gtv)</t>
  </si>
  <si>
    <t>Tổng hợp 12 mục con theo HĐ đã ký &amp; định mức NĐ 10/2021</t>
  </si>
  <si>
    <t>III.1</t>
  </si>
  <si>
    <t>Chi phí thiết kế ý tưởng, lập QHCT 1/500 (HĐ 22/2025)</t>
  </si>
  <si>
    <t>Hợp đồng đã ký</t>
  </si>
  <si>
    <t>III.2</t>
  </si>
  <si>
    <t>Đo đạc hiện trạng địa hình</t>
  </si>
  <si>
    <t>Thực tế dự án</t>
  </si>
  <si>
    <t>III.3</t>
  </si>
  <si>
    <t>Khảo sát địa chất giai đoạn TKCS (HĐ 1803/2026)</t>
  </si>
  <si>
    <t>III.4</t>
  </si>
  <si>
    <t>Khảo sát địa chất giai đoạn BVTC (Chào thầu)</t>
  </si>
  <si>
    <t>Chào thầu cạnh tranh</t>
  </si>
  <si>
    <t>III.5</t>
  </si>
  <si>
    <t>Đăng ký môi trường (HĐ đã ký)</t>
  </si>
  <si>
    <t>III.6</t>
  </si>
  <si>
    <t>Đánh giá tác động giao thông (Tạm tính)</t>
  </si>
  <si>
    <t>Tạm tính khái toán</t>
  </si>
  <si>
    <t>III.7</t>
  </si>
  <si>
    <t>Lập BCNCKT BIM LOD 200, BVTC &amp; GSTG (HĐ 2507/2025)</t>
  </si>
  <si>
    <t>III.8</t>
  </si>
  <si>
    <t>Thẩm tra BCNCKT, TKKKT và BVTC (HĐ 0605/2026 &amp; 1505/2026)</t>
  </si>
  <si>
    <t>III.9</t>
  </si>
  <si>
    <t>Thẩm tra dự toán xây dựng công trình</t>
  </si>
  <si>
    <t>0,0440% x Gxd (CSDL!D11)</t>
  </si>
  <si>
    <t>III.10</t>
  </si>
  <si>
    <t>Giám sát thi công xây dựng công trình</t>
  </si>
  <si>
    <t>0,7010% x Gxd (CSDL!D12)</t>
  </si>
  <si>
    <t>III.11</t>
  </si>
  <si>
    <t>Giám sát lắp đặt thiết bị công trình</t>
  </si>
  <si>
    <t>0,2950% x Gtb (CSDL!D13)</t>
  </si>
  <si>
    <t>III.12</t>
  </si>
  <si>
    <t>Tư vấn thiết kế khác &amp; tư vấn đặc thù</t>
  </si>
  <si>
    <t>0,5000% x (Gxd + Gtb) (CSDL!D14)</t>
  </si>
  <si>
    <t>IV</t>
  </si>
  <si>
    <t>CHI PHÍ KHÁC (Gk)</t>
  </si>
  <si>
    <t>Tổng hợp 9 mục con theo quy định &amp; hồ sơ khái toán TMĐT</t>
  </si>
  <si>
    <t>IV.1</t>
  </si>
  <si>
    <t>Bảo hiểm công trình xây dựng</t>
  </si>
  <si>
    <t>0,1000% x Gxd (CSDL!D15)</t>
  </si>
  <si>
    <t>IV.2</t>
  </si>
  <si>
    <t>Lệ phí thẩm duyệt PCCC</t>
  </si>
  <si>
    <t>0,0008% x TMĐT cơ sở (CSDL!D16)</t>
  </si>
  <si>
    <t>IV.3</t>
  </si>
  <si>
    <t>Lệ phí thẩm định Báo cáo NCKT (Dự án)</t>
  </si>
  <si>
    <t>0,0020% x TMĐT cơ sở (CSDL!D17)</t>
  </si>
  <si>
    <t>IV.4</t>
  </si>
  <si>
    <t>Lệ phí thẩm định thiết kế triển khai sau TKCS</t>
  </si>
  <si>
    <t>0,0300% x Gxd (CSDL!D18)</t>
  </si>
  <si>
    <t>IV.5</t>
  </si>
  <si>
    <t>Lệ phí thẩm định dự toán xây dựng</t>
  </si>
  <si>
    <t>0,0290% x Gxd (CSDL!D19)</t>
  </si>
  <si>
    <t>IV.6</t>
  </si>
  <si>
    <t>Kiểm toán độc lập Báo cáo tài chính</t>
  </si>
  <si>
    <t>0,1170% x TMĐT cơ sở (CSDL!D20)</t>
  </si>
  <si>
    <t>IV.7</t>
  </si>
  <si>
    <t>Thẩm tra, phê duyệt quyết toán vốn đầu tư</t>
  </si>
  <si>
    <t>0,0410% x TMĐT cơ sở (CSDL!D21)</t>
  </si>
  <si>
    <t>IV.8</t>
  </si>
  <si>
    <t>Chi phí làm căn hộ mẫu bán hàng</t>
  </si>
  <si>
    <t>Tạm tính hồ sơ khái toán</t>
  </si>
  <si>
    <t>IV.9</t>
  </si>
  <si>
    <t>Đấu nối kỹ thuật &amp; hoàn trả hạ tầng ngoài ranh</t>
  </si>
  <si>
    <t>1,5000% x (Gxd + Gtb) (CSDL!D22)</t>
  </si>
  <si>
    <t>V</t>
  </si>
  <si>
    <t>CHI PHÍ DỰ PHÒNG (Gdp)</t>
  </si>
  <si>
    <t>Dự phòng 10% theo quy định Nghị định 10/2021</t>
  </si>
  <si>
    <t>V.1</t>
  </si>
  <si>
    <t>Dự phòng yếu tố khối lượng công việc phát sinh</t>
  </si>
  <si>
    <t>10,0% x (I + II + III + IV) (CSDL!D23)</t>
  </si>
  <si>
    <t>V.2</t>
  </si>
  <si>
    <t>Dự phòng yếu tố trượt giá trong thời gian thi công</t>
  </si>
  <si>
    <t>Tạm tính bằng 0 đồng theo phương án tài chính</t>
  </si>
  <si>
    <t>VI</t>
  </si>
  <si>
    <t>CHI PHÍ LÃI VAY TRONG THỜI GIAN XÂY DỰNG</t>
  </si>
  <si>
    <t>Phương án tài chính CĐT (tạm tính CSDL!D24)</t>
  </si>
  <si>
    <t>TỔNG</t>
  </si>
  <si>
    <t>TỔNG MỨC ĐẦU TƯ TOÀN DỰ ÁN TRƯƠNG ĐỊNH (SAU THUẾ)</t>
  </si>
  <si>
    <t>I + II + III + IV + V + VI (Nghị định 10/2021/NĐ-CP)</t>
  </si>
  <si>
    <t>CÔNG TY CỔ PHẦN PHÁT TRIỂN BẤT ĐỘNG SẢN VĂN PHÚ (VPI)</t>
  </si>
  <si>
    <t>CƠ SỞ DỮ LIỆU ĐƠN GIÁ, ĐỊNH MỨC CHI PHÍ &amp; DELTA TIÊU CHUẨN BÀN GIAO</t>
  </si>
  <si>
    <t>Căn cứ: Nghị định 10/2021/NĐ-CP, Hồ sơ khái toán TMĐT Trương Định &amp; Dữ liệu mỏ neo NewTech 03HCM008</t>
  </si>
  <si>
    <t>BẢNG I: TỶ LỆ ĐỊNH MỨC VÀ HỆ SỐ PHÂN BỔ CHI PHÍ MỀM (SOFT COSTS)</t>
  </si>
  <si>
    <t>STT</t>
  </si>
  <si>
    <t>Chỉ Tiêu / Loại Chi Phí</t>
  </si>
  <si>
    <t>Tỷ Lệ / Giá Trị</t>
  </si>
  <si>
    <t>Đơn Vị</t>
  </si>
  <si>
    <t>Căn Cứ Pháp Lý &amp; Tính Toán</t>
  </si>
  <si>
    <t>Tỷ trọng Chi phí Xây dựng thuần (Gxd / (Gxd + Gtb))</t>
  </si>
  <si>
    <t>Tỷ lệ</t>
  </si>
  <si>
    <t>Khái toán TMĐT Trương Định (2.089,77 tỷ / 2.376,29 tỷ)</t>
  </si>
  <si>
    <t>Tỷ trọng Chi phí Thiết bị thuần (Gtb / (Gxd + Gtb))</t>
  </si>
  <si>
    <t>Khái toán TMĐT Trương Định (286,53 tỷ / 2.376,29 tỷ)</t>
  </si>
  <si>
    <t>Định mức Quản lý dự án (Gqlda)</t>
  </si>
  <si>
    <t>% (Gxd+Gtb)</t>
  </si>
  <si>
    <t>Nghị định 10/2021/NĐ-CP &amp; Thông tư 12/2021/TT-BXD</t>
  </si>
  <si>
    <t>Thẩm tra dự toán</t>
  </si>
  <si>
    <t>% Gxd</t>
  </si>
  <si>
    <t>Thông tư 12/2021/TT-BXD</t>
  </si>
  <si>
    <t>Giám sát thi công xây dựng</t>
  </si>
  <si>
    <t>Giám sát lắp đặt thiết bị</t>
  </si>
  <si>
    <t>% Gtb</t>
  </si>
  <si>
    <t>Tư vấn thiết kế khác &amp; đặc thù</t>
  </si>
  <si>
    <t>Tạm tính khái toán TMĐT</t>
  </si>
  <si>
    <t>Bảo hiểm công trình</t>
  </si>
  <si>
    <t>Thông tư 50/2022/TT-BTC</t>
  </si>
  <si>
    <t>% TMĐT cơ sở</t>
  </si>
  <si>
    <t>Thông tư 258/2016/TT-BTC</t>
  </si>
  <si>
    <t>Lệ phí thẩm định Báo cáo NCKT (DA)</t>
  </si>
  <si>
    <t>Thông tư 28/2023/TT-BTC</t>
  </si>
  <si>
    <t>Thông tư 27/2023/TT-BTC</t>
  </si>
  <si>
    <t>Lệ phí thẩm định dự toán</t>
  </si>
  <si>
    <t>Thông tư 09/2016/TT-BTC</t>
  </si>
  <si>
    <t>Thông tư 10/2020/TT-BTC (0,0820% x 50%)</t>
  </si>
  <si>
    <t>Đấu nối hạ tầng kỹ thuật &amp; hoàn trả</t>
  </si>
  <si>
    <t>Khái toán TMĐT Trương Định</t>
  </si>
  <si>
    <t>Dự phòng yếu tố khối lượng phát sinh</t>
  </si>
  <si>
    <t>% (I..IV)</t>
  </si>
  <si>
    <t>Nghị định 10/2021/NĐ-CP (10%)</t>
  </si>
  <si>
    <t>Lãi vay trong thời gian xây dựng (tạm tính)</t>
  </si>
  <si>
    <t>% TMĐT</t>
  </si>
  <si>
    <t>Phương án vốn CĐT</t>
  </si>
  <si>
    <t>BẢNG II: CƠ SỞ DỮ LIỆU TÙY CHỌN TIÊU CHUẨN BÀN GIAO &amp; BIẾN ĐỘNG CHI PHÍ (DELTA VNĐ)</t>
  </si>
  <si>
    <t>Mã Option</t>
  </si>
  <si>
    <t>Tên Tùy Chọn Hiển Thị Trong Dropdown</t>
  </si>
  <si>
    <t>Delta CT1 (VNĐ)</t>
  </si>
  <si>
    <t>Delta CT2 (VNĐ)</t>
  </si>
  <si>
    <t>Bộ Môn Cấu Phần</t>
  </si>
  <si>
    <t>Quy Cách Kỹ Thuật &amp; Căn Cứ Định Mức</t>
  </si>
  <si>
    <t>ceiling_ct1_full</t>
  </si>
  <si>
    <t>Trần thạch cao khung chìm (Chuẩn TĐC)</t>
  </si>
  <si>
    <t>Trần Thạch Cao CT1</t>
  </si>
  <si>
    <t>Khung chìm Vĩnh Tường, tấm thạch cao tiêu chuẩn 9mm, sơn Dulux</t>
  </si>
  <si>
    <t>ceiling_ct1_wc</t>
  </si>
  <si>
    <t>Chỉ làm trần thạch cao WC &amp; Bếp (-11,50 tỷ)</t>
  </si>
  <si>
    <t>Bỏ trần thạch cao khách/ngủ, chỉ làm trần chống ẩm WC/bếp, sơn bả đáy sàn</t>
  </si>
  <si>
    <t>ceiling_ct1_none</t>
  </si>
  <si>
    <t>Không có trần thạch cao (-16,40 tỷ)</t>
  </si>
  <si>
    <t>Bỏ toàn bộ trần thạch cao, chỉ bả matit và sơn trực tiếp đáy sàn bê tông</t>
  </si>
  <si>
    <t>ceiling_ct2_full</t>
  </si>
  <si>
    <t>Trần thạch cao giật cấp Vĩnh Tường (Chuẩn NewTech)</t>
  </si>
  <si>
    <t>Trần Thạch Cao CT2</t>
  </si>
  <si>
    <t>Chuẩn NewTech: Trần thạch cao khung chìm Vĩnh Tường giật cấp hắt sáng</t>
  </si>
  <si>
    <t>ceiling_ct2_wc</t>
  </si>
  <si>
    <t>Chỉ làm trần thạch cao WC &amp; Bếp (-18,90 tỷ)</t>
  </si>
  <si>
    <t>Bỏ trần giật cấp khách/ngủ, chỉ làm trần chống ẩm WC/bếp, sơn bả đáy sàn</t>
  </si>
  <si>
    <t>ceiling_ct2_none</t>
  </si>
  <si>
    <t>Không có trần thạch cao (-27,00 tỷ)</t>
  </si>
  <si>
    <t>facade_ct1_xingfa</t>
  </si>
  <si>
    <t>Nhôm Ngọc Diệp / Xingfa (Chuẩn TĐC)</t>
  </si>
  <si>
    <t>Nhôm Kính CT1</t>
  </si>
  <si>
    <t>Khung nhôm hệ Xingfa / Ngọc Diệp, kính an toàn 2 lớp 8.38mm</t>
  </si>
  <si>
    <t>facade_ct1_vietphap</t>
  </si>
  <si>
    <t>Việt Pháp (-3,50 tỷ)</t>
  </si>
  <si>
    <t>Sử dụng nhôm Việt Pháp hệ 450/2600 kinh tế</t>
  </si>
  <si>
    <t>facade_ct1_lowe</t>
  </si>
  <si>
    <t>Xingfa Low-E (+5,25 tỷ)</t>
  </si>
  <si>
    <t>Nâng cấp kính hộp Low-E cản nhiệt cách âm cao cấp</t>
  </si>
  <si>
    <t>facade_ct2_lowe</t>
  </si>
  <si>
    <t>BM Windows Low-E (Chuẩn NewTech)</t>
  </si>
  <si>
    <t>Nhôm Kính CT2</t>
  </si>
  <si>
    <t>Chuẩn NewTech: Nhôm BM Windows cao cấp + Kính hộp Low-E 24mm cản nhiệt</t>
  </si>
  <si>
    <t>facade_ct2_schuco</t>
  </si>
  <si>
    <t>Schuco Đức (+20,50 tỷ)</t>
  </si>
  <si>
    <t>Hệ mặt dựng &amp; cửa nhôm Schuco nhập khẩu CHLB Đức</t>
  </si>
  <si>
    <t>facade_ct2_xingfa</t>
  </si>
  <si>
    <t>Xingfa Thường (-6,25 tỷ)</t>
  </si>
  <si>
    <t>Hạ cấp xuống hệ nhôm Xingfa kính hộp thường dán an toàn</t>
  </si>
  <si>
    <t>floor_ct1_vigl</t>
  </si>
  <si>
    <t>Gạch Viglacera (Chuẩn TĐC)</t>
  </si>
  <si>
    <t>Lát Sàn CT1</t>
  </si>
  <si>
    <t>Gạch Ceramic/Porcelain Viglacera 600x600 chuẩn tái định cư</t>
  </si>
  <si>
    <t>floor_ct1_floor</t>
  </si>
  <si>
    <t>Gỗ Floordi (+3,35 tỷ)</t>
  </si>
  <si>
    <t>Nâng cấp sàn gỗ công nghiệp Floordi dày 12mm phòng khách + ngủ</t>
  </si>
  <si>
    <t>floor_ct1_prime</t>
  </si>
  <si>
    <t>Gạch Prime (-1,12 tỷ)</t>
  </si>
  <si>
    <t>Sử dụng gạch Ceramic Prime 500x500 kinh tế</t>
  </si>
  <si>
    <t>floor_ct2_floor</t>
  </si>
  <si>
    <t>Gỗ Floordi + 600x1200 (Chuẩn NewTech)</t>
  </si>
  <si>
    <t>Lát Sàn CT2</t>
  </si>
  <si>
    <t>Chuẩn NewTech: Sàn gỗ Bỉ/Floordi + Gạch Porcelain 600x1200 nhập khẩu</t>
  </si>
  <si>
    <t>floor_ct2_marble</t>
  </si>
  <si>
    <t>Marble Ý Sảnh (+16,82 tỷ)</t>
  </si>
  <si>
    <t>Nâng cấp đá tự nhiên Marble Ý cho toàn bộ sảnh căn hộ và thang máy</t>
  </si>
  <si>
    <t>floor_ct2_vigl</t>
  </si>
  <si>
    <t>Gạch Viglacera (-8,22 tỷ)</t>
  </si>
  <si>
    <t>Hạ cấp xuống gạch Porcelain trong nước đồng bộ toàn nhà</t>
  </si>
  <si>
    <t>kitchen_ct1_none</t>
  </si>
  <si>
    <t>Chỉ để đầu chờ, không lắp tủ bếp (Chuẩn TĐC)</t>
  </si>
  <si>
    <t>Tủ Bếp CT1</t>
  </si>
  <si>
    <t>Căn hộ TĐC bàn giao thô khu bếp, để đầu chờ điện nước</t>
  </si>
  <si>
    <t>kitchen_ct1_std</t>
  </si>
  <si>
    <t>Bếp Tiêu Chuẩn (+9,06 tỷ)</t>
  </si>
  <si>
    <t>Gỗ An Cường MDF lõi xanh chống ẩm, bếp từ đôi Bluestone</t>
  </si>
  <si>
    <t>kitchen_ct1_high</t>
  </si>
  <si>
    <t>Bếp Cao Cấp (+17,15 tỷ)</t>
  </si>
  <si>
    <t>Gỗ An Cường Acrylic, phụ kiện Hafele, hút mùi âm tủ</t>
  </si>
  <si>
    <t>kitchen_ct2_high</t>
  </si>
  <si>
    <t>Bếp Cao Cấp Hafele (Chuẩn NewTech)</t>
  </si>
  <si>
    <t>Tủ Bếp CT2</t>
  </si>
  <si>
    <t>Chuẩn Concept NewTech: Tủ bếp Hafele, thiết bị bếp Bosch cao cấp</t>
  </si>
  <si>
    <t>kitchen_ct2_std</t>
  </si>
  <si>
    <t>Bếp Tiêu Chuẩn (-8,62 tỷ)</t>
  </si>
  <si>
    <t>Giảm cấp phụ kiện và vật liệu gỗ MFC thay vì Acrylic</t>
  </si>
  <si>
    <t>kitchen_ct2_none</t>
  </si>
  <si>
    <t>Chỉ để đầu chờ, không lắp tủ bếp (-20,12 tỷ)</t>
  </si>
  <si>
    <t>Không lắp đặt tủ bếp và thiết bị bếp (chỉ để đầu chờ)</t>
  </si>
  <si>
    <t>sanitary_ct1_bravat</t>
  </si>
  <si>
    <t>Bravat / Caesar (Chuẩn TĐC)</t>
  </si>
  <si>
    <t>TBVS CT1</t>
  </si>
  <si>
    <t>Sứ vệ sinh Bravat/Caesar tiêu chuẩn nhà ở tái định cư</t>
  </si>
  <si>
    <t>sanitary_ct1_inax</t>
  </si>
  <si>
    <t>Inax (+3,43 tỷ)</t>
  </si>
  <si>
    <t>Nâng cấp thiết bị vệ sinh Inax chính hãng dòng trung cấp</t>
  </si>
  <si>
    <t>sanitary_ct1_toto</t>
  </si>
  <si>
    <t>Toto (+8,33 tỷ)</t>
  </si>
  <si>
    <t>Nâng cấp trọn bộ bàn cầu và sen vòi Toto cao cấp</t>
  </si>
  <si>
    <t>sanitary_ct2_toto</t>
  </si>
  <si>
    <t>Toto / Grohe (Chuẩn NewTech)</t>
  </si>
  <si>
    <t>TBVS CT2</t>
  </si>
  <si>
    <t>Chuẩn NewTech: Thiết bị vệ sinh Toto nắp rửa điện tử + sen vòi Grohe Đức</t>
  </si>
  <si>
    <t>sanitary_ct2_duravit</t>
  </si>
  <si>
    <t>Duravit Siêu Sang (+13,80 tỷ)</t>
  </si>
  <si>
    <t>Nâng cấp bộ thiết bị vệ sinh Duravit nhập khẩu nguyên chiếc từ Đức</t>
  </si>
  <si>
    <t>sanitary_ct2_inax</t>
  </si>
  <si>
    <t>Inax Tiêu Chuẩn (-7,47 tỷ)</t>
  </si>
  <si>
    <t>Hạ cấp từ Toto/Grohe xuống Inax dòng cao cấp trong nước</t>
  </si>
  <si>
    <t>hvac_ct1_none</t>
  </si>
  <si>
    <t>Chỉ để đầu chờ ống đồng (Chuẩn TĐC)</t>
  </si>
  <si>
    <t>Điều Hòa CT1</t>
  </si>
  <si>
    <t>Chuẩn TĐC: Chỉ lắp đặt sẵn hệ thống đường ống đồng và thoát nước ngưng</t>
  </si>
  <si>
    <t>hvac_ct1_cucbo</t>
  </si>
  <si>
    <t>Lắp ĐHKK Cục Bộ (+12,25 tỷ)</t>
  </si>
  <si>
    <t>Lắp điều hòa treo tường 2 cục Inverter Casper/Gree các phòng</t>
  </si>
  <si>
    <t>hvac_ct1_multi</t>
  </si>
  <si>
    <t>Lắp Daikin Multi (+22,05 tỷ)</t>
  </si>
  <si>
    <t>Hệ thống Daikin Multi 1 dàn nóng nhiều dàn lạnh treo tường</t>
  </si>
  <si>
    <t>hvac_ct2_vrv</t>
  </si>
  <si>
    <t>Điều Hòa Daikin VRV âm trần (Chuẩn NewTech)</t>
  </si>
  <si>
    <t>Điều Hòa CT2</t>
  </si>
  <si>
    <t>Chuẩn NewTech: Hệ thống trung tâm VRV âm trần nối ống gió cao cấp</t>
  </si>
  <si>
    <t>hvac_ct2_multi</t>
  </si>
  <si>
    <t>Daikin Multi nối ống gió (-10,35 tỷ)</t>
  </si>
  <si>
    <t>Chuyển từ VRV âm trần sang Multi giấu trần nối ống gió</t>
  </si>
  <si>
    <t>hvac_ct2_cucbo</t>
  </si>
  <si>
    <t>ĐHKK Cục Bộ Cassette (-20,12 tỷ)</t>
  </si>
  <si>
    <t>Chuyển sang điều hòa cục bộ âm trần cassette</t>
  </si>
  <si>
    <t>hvac_ct2_none</t>
  </si>
  <si>
    <t>Chỉ để đầu chờ ống đồng (-31,62 tỷ)</t>
  </si>
  <si>
    <t>Bỏ toàn bộ máy điều hòa, chỉ bàn giao hệ thống ống đồng đầu chờ</t>
  </si>
  <si>
    <t>elev_kone</t>
  </si>
  <si>
    <t>Kone / Otis SkyRise 3.0 m/s Châu Âu (NewTech)</t>
  </si>
  <si>
    <t>Thang Máy</t>
  </si>
  <si>
    <t>Chuẩn NewTech: Thang máy Kone/Otis tốc độ cao 3.0 m/s nhập khẩu</t>
  </si>
  <si>
    <t>elev_mitsu</t>
  </si>
  <si>
    <t>Mitsubishi Châu Á 2.5 m/s (-11,90 tỷ)</t>
  </si>
  <si>
    <t>Thang máy Mitsubishi sản xuất tại Thái Lan, tốc độ 2.5 m/s</t>
  </si>
  <si>
    <t>elev_schindler</t>
  </si>
  <si>
    <t>Schindler 5500 Điểm Đến (+8,40 tỷ)</t>
  </si>
  <si>
    <t>Thang máy Thụy Sĩ tích hợp hệ thống điều khiển chọn điểm đến thông minh</t>
  </si>
  <si>
    <t>BẢNG ĐIỀU KHIỂN TIÊU CHUẨN BÀN GIAO &amp; PHÂN RÃ CHI PHÍ THEO 4 BỘ MÔN</t>
  </si>
  <si>
    <t>Tích hợp Data Validation Dropdown lựa chọn trực tiếp tại từng hạng mục bàn giao, triệt tiêu hoàn toàn hệ số K</t>
  </si>
  <si>
    <t>THÔNG TIN CẤU PHẦN &amp; HẠNG MỤC</t>
  </si>
  <si>
    <t>TÒA CT1 — TÁI ĐỊNH CƯ (45.371,85 m2)</t>
  </si>
  <si>
    <t>TÒA CT2 — THƯƠNG MẠI (74.504,60 m2)</t>
  </si>
  <si>
    <t>HẠ TẦNG (13.757 m2 đất)</t>
  </si>
  <si>
    <t>TỔNG HỢP DỰ ÁN (119.876,45 m2)</t>
  </si>
  <si>
    <t>CĂN CỨ KỸ THUẬT &amp; QUY CÁCH BÀN GIAO</t>
  </si>
  <si>
    <t>Danh Mục Hạng Mục Cấu Phần Theo 4 Bộ Môn</t>
  </si>
  <si>
    <t>Giá Cơ Sở CT1 (đ)</t>
  </si>
  <si>
    <t>Tiêu Chuẩn Bàn Giao CT1 [Dropdown]</t>
  </si>
  <si>
    <t>Delta CT1 (đ)</t>
  </si>
  <si>
    <t>Thành Tiền CT1 (đ)</t>
  </si>
  <si>
    <t>Giá Cơ Sở CT2 (đ)</t>
  </si>
  <si>
    <t>Tiêu Chuẩn Bàn Giao CT2 [Dropdown]</t>
  </si>
  <si>
    <t>Delta CT2 (đ)</t>
  </si>
  <si>
    <t>Thành Tiền CT2 (đ)</t>
  </si>
  <si>
    <t>Hạ Tầng Ngoài (đ)</t>
  </si>
  <si>
    <t>Tổng Giá Trị (đ)</t>
  </si>
  <si>
    <t>Suất ĐT (đ/m2)</t>
  </si>
  <si>
    <t>Quy Cách Kỹ Thuật &amp; Căn Cứ Lựa Chọn</t>
  </si>
  <si>
    <t>BỘ MÔN 1: KẾT CẤU &amp; PHẦN NGẦM</t>
  </si>
  <si>
    <t>-</t>
  </si>
  <si>
    <t>Bao gồm cọc đại trà, tường vây, 3 tầng hầm và 30 tầng kết cấu thân BTCT</t>
  </si>
  <si>
    <t>1.1</t>
  </si>
  <si>
    <t>Cọc khoan nhồi đại trà &amp; tường vây hầm</t>
  </si>
  <si>
    <t>m2 hầm</t>
  </si>
  <si>
    <t>Cọc D1000/1200 + tường vây D800 (Long Giang)</t>
  </si>
  <si>
    <t>1.2</t>
  </si>
  <si>
    <t>Đào đất móng ngầm &amp; kết cấu BTCT hầm</t>
  </si>
  <si>
    <t>3 tầng hầm diện tích 28.540 m2</t>
  </si>
  <si>
    <t>1.3</t>
  </si>
  <si>
    <t>Khung BTCT phần thân (cột, dầm, sàn, lõi vách)</t>
  </si>
  <si>
    <t>m2 sàn nổi</t>
  </si>
  <si>
    <t>Bê tông B35/B40, cốt thép CB400/500 (30 tầng nổi)</t>
  </si>
  <si>
    <t>BỘ MÔN 2: KIẾN TRÚC &amp; HOÀN THIỆN</t>
  </si>
  <si>
    <t>Bao gồm xây trát, trần sơn, cửa thép, nhôm kính mặt ngoài, lát sàn và tủ bếp</t>
  </si>
  <si>
    <t>2.1</t>
  </si>
  <si>
    <t>Xây tường gạch bao che/ngăn, trát &amp; láng nền</t>
  </si>
  <si>
    <t>m2 sàn</t>
  </si>
  <si>
    <t>Gạch xi măng cốt liệu, vữa M75</t>
  </si>
  <si>
    <t>2.2</t>
  </si>
  <si>
    <t>Trần thạch cao khung chìm &amp; sơn bả hoàn thiện</t>
  </si>
  <si>
    <t>Khung Vĩnh Tường, tấm chống ẩm, sơn Dulux / Tùy chọn bỏ trần</t>
  </si>
  <si>
    <t>2.3</t>
  </si>
  <si>
    <t>Cửa chính chống cháy &amp; cửa thông phòng căn hộ</t>
  </si>
  <si>
    <t>m2 căn hộ</t>
  </si>
  <si>
    <t>Cửa thép Hisung EI60 &amp; cửa gỗ HMP</t>
  </si>
  <si>
    <t>2.4</t>
  </si>
  <si>
    <t>Cửa sổ, vách kính mặt ngoài &amp; lan can kính</t>
  </si>
  <si>
    <t>Tùy chọn hệ nhôm Xingfa/Việt Pháp/BM Windows Low-E/Schuco</t>
  </si>
  <si>
    <t>2.5</t>
  </si>
  <si>
    <t>Hoàn thiện lát sàn gạch Porcelain &amp; sàn gỗ</t>
  </si>
  <si>
    <t>Tùy chọn Gạch Prime/Viglacera/Gỗ Floordi/Marble Ý</t>
  </si>
  <si>
    <t>2.6</t>
  </si>
  <si>
    <t>Tủ bếp &amp; Thiết bị bếp (Hafele / Bosch)</t>
  </si>
  <si>
    <t>Tùy chọn Bỏ bếp/Tiêu chuẩn An Cường/Cao cấp Hafele Bosch</t>
  </si>
  <si>
    <t>BỘ MÔN 3: CƠ ĐIỆN &amp; THIẾT BỊ CÔNG TRÌNH MEP</t>
  </si>
  <si>
    <t>Bao gồm hệ thống điện, TBA, cấp thoát nước, TBVS, điều hòa thông gió và thang máy</t>
  </si>
  <si>
    <t>3.1</t>
  </si>
  <si>
    <t>Hệ thống điện, TBA, máy phát điện, đèn chiếu sáng</t>
  </si>
  <si>
    <t>Trạm biến áp, máy phát dự phòng 100%, chiếu sáng LED</t>
  </si>
  <si>
    <t>3.2</t>
  </si>
  <si>
    <t>Cấp thoát nước, trạm XLNT &amp; Thiết bị vệ sinh</t>
  </si>
  <si>
    <t>Tùy chọn Bravat/Inax/Toto/Duravit nhập khẩu</t>
  </si>
  <si>
    <t>3.3</t>
  </si>
  <si>
    <t>Hệ thống điều hòa không khí &amp; thông gió (HVAC)</t>
  </si>
  <si>
    <t>Tùy chọn Đầu chờ ống đồng/Cục bộ/Multi/Daikin VRV trung tâm</t>
  </si>
  <si>
    <t>3.4</t>
  </si>
  <si>
    <t>Thang máy hành khách, hệ thống PCCC &amp; An ninh ELV</t>
  </si>
  <si>
    <t>Đồng bộ theo lựa chọn CT1</t>
  </si>
  <si>
    <t>Tùy chọn Kone Otis 3.0m/s / Mitsubishi 2.5m/s / Schindler 5500</t>
  </si>
  <si>
    <t>BỘ MÔN 4: HẠ TẦNG KỸ THUẬT &amp; CẢNH QUAN</t>
  </si>
  <si>
    <t>Đường nội bộ, sân vườn cảnh quan cây xanh và trạm điện ngoài nhà</t>
  </si>
  <si>
    <t>4.1</t>
  </si>
  <si>
    <t>Đường nội bộ, cảnh quan cây xanh ngoài ranh</t>
  </si>
  <si>
    <t>m2 đất</t>
  </si>
  <si>
    <t>Sân đường nội bộ, cây xanh, trạm hạ thế 13.757 m2 đất</t>
  </si>
  <si>
    <t>4.2</t>
  </si>
  <si>
    <t>Dự phòng &amp; chi phí chung khác trong XD</t>
  </si>
  <si>
    <t>Phân bổ theo từng gói thầu cụ thể</t>
  </si>
  <si>
    <t>TỔNG CỘNG CHI PHÍ XÂY DỰNG VÀ THIẾT BỊ (4 BỘ MÔN):</t>
  </si>
  <si>
    <t>Chuyển toàn bộ sang Dòng I Sheet 1 (Bang Tong Hop TMDT)</t>
  </si>
  <si>
    <t>BẢNG ĐỐI SOÁT CHI TIẾT TỔNG MỨC ĐẦU TƯ: HỒ SƠ KHÁI TOÁN GỐC VS MÔ HÌNH ĐỘNG</t>
  </si>
  <si>
    <t>Căn cứ đối soát: File 03. Hồ sơ khái toán TMĐT.pdf (Mốc: 2.744.531.107.679 đ, Suất: 22.894.664 đ/m2 sàn)</t>
  </si>
  <si>
    <t>Khoản Mục Chi Phí TMĐT</t>
  </si>
  <si>
    <t>Hồ Sơ Khái Toán Gốc (đồng)</t>
  </si>
  <si>
    <t>Mô Hình Động Hiện Tại (đồng)</t>
  </si>
  <si>
    <t>Chênh Lệch (+/- đồng)</t>
  </si>
  <si>
    <t>Tỷ Lệ Biến Động (%)</t>
  </si>
  <si>
    <t>Đánh Giá Khớp Nối</t>
  </si>
  <si>
    <t>Ghi Chú Nghiệp Vụ</t>
  </si>
  <si>
    <t>Chi phí Xây dựng và Thiết bị (Gxd + Gtb)</t>
  </si>
  <si>
    <t>Bao gồm 7 khối công tác thi công và hạ tầng ngoài nhà</t>
  </si>
  <si>
    <t>Chi phí Quản lý dự án (Gqlda)</t>
  </si>
  <si>
    <t>Định mức Nghị định 10/2021/NĐ-CP (0,9420%)</t>
  </si>
  <si>
    <t>Chi phí Tư vấn đầu tư xây dựng (Gtv)</t>
  </si>
  <si>
    <t>Gồm 12 mục con theo các hợp đồng đã ký và định mức</t>
  </si>
  <si>
    <t>Chi phí Khác (Gk)</t>
  </si>
  <si>
    <t>Gồm 9 mục con lệ phí nhà nước, bảo hiểm và hạ tầng</t>
  </si>
  <si>
    <t>Chi phí Dự phòng (Gdp)</t>
  </si>
  <si>
    <t>Chi phí Lãi vay trong thời gian XD</t>
  </si>
  <si>
    <t>Tạm tính 0 đồng trong hồ sơ khái toán</t>
  </si>
  <si>
    <t>TỔNG MỨC ĐẦU TƯ TOÀN DỰ ÁN TRƯƠNG ĐỊNH:</t>
  </si>
  <si>
    <t>Mốc chuẩn đối soát hồ sơ Trương Định 01HNI023</t>
  </si>
  <si>
    <t>BẢNG TÍNH NỘI SUY &amp; NGOẠI SUY ĐỊNH MỨC CHI PHÍ QUẢN LÝ DỰ ÁN VÀ TƯ VẤN ĐẦU TƯ XÂY DỰNG</t>
  </si>
  <si>
    <t>Căn cứ: Phụ lục VIII ban hành kèm theo Thông tư số 38/2026/TT-BXD (36/2026/TT-BXD) ngày 26/06/2026 của Bộ Xây dựng</t>
  </si>
  <si>
    <t>PHẦN I: BẢNG TÍNH NỘI SUY / NGOẠI SUY TỰ ĐỘNG THEO QUY MÔ DỰ ÁN TRƯƠNG ĐỊNH (01HNI023)</t>
  </si>
  <si>
    <t>Khoản Mục Định Mức Chi Phí</t>
  </si>
  <si>
    <t>Bảng Tra Cứu</t>
  </si>
  <si>
    <t>Cơ Sở Xác Định Quy Mô &amp; Căn Cứ Thuế</t>
  </si>
  <si>
    <t>Quy Mô Chưa Thuế G_t (tỷ đ)</t>
  </si>
  <si>
    <t>Mốc Cận Dưới G_b (tỷ đ)</t>
  </si>
  <si>
    <t>Định Mức Cận Dưới N_b (%)</t>
  </si>
  <si>
    <t>Mốc Cận Trên G_a (tỷ đ)</t>
  </si>
  <si>
    <t>Định Mức Cận Trên N_a (%)</t>
  </si>
  <si>
    <t>Định Mức Nội/Ngoại Suy N_t (%)</t>
  </si>
  <si>
    <t>Định Mức Đang Dùng Khái Toán (%)</t>
  </si>
  <si>
    <t>Chênh Lệch (+/- %)</t>
  </si>
  <si>
    <t>Phương Pháp Xác Định</t>
  </si>
  <si>
    <t>Bảng 1.1</t>
  </si>
  <si>
    <t>Chi phí xây dựng + thiết bị (CHƯA THUẾ GTGT)</t>
  </si>
  <si>
    <t>Bảng 2.20</t>
  </si>
  <si>
    <t>Chi phí xây dựng thuần (CHƯA THUẾ GTGT)</t>
  </si>
  <si>
    <t>Thẩm tra thiết kế xây dựng công trình</t>
  </si>
  <si>
    <t>Bảng 2.19</t>
  </si>
  <si>
    <t>Bảng 2.24</t>
  </si>
  <si>
    <t>Bảng 2.25</t>
  </si>
  <si>
    <t>Chi phí thiết bị thuần (CHƯA THUẾ GTGT)</t>
  </si>
  <si>
    <t>Lập Báo cáo nghiên cứu khả thi (BCNCKT)</t>
  </si>
  <si>
    <t>Bảng 2.3</t>
  </si>
  <si>
    <t>HĐ 2507/2025</t>
  </si>
  <si>
    <t>—</t>
  </si>
  <si>
    <t>Thẩm tra Báo cáo nghiên cứu khả thi</t>
  </si>
  <si>
    <t>Bảng 2.18</t>
  </si>
  <si>
    <t>HĐ 0605/2026</t>
  </si>
  <si>
    <t>PHẦN II: DỮ LIỆU SỐ HÓA CÁC BẢNG ĐỊNH MỨC GỐC PHỤ LỤC VIII THÔNG TƯ 38/2026/TT-BXD (BỘ XÂY DỰNG)</t>
  </si>
  <si>
    <t>BẢNG 1.1: ĐỊNH MỨC CHI PHÍ QUẢN LÝ DỰ ÁN (CÔNG TRÌNH DÂN DỤNG CẤP I)</t>
  </si>
  <si>
    <t>Quy mô chi phí (tỷ đồng)</t>
  </si>
  <si>
    <t>Định mức tỷ lệ (%)</t>
  </si>
  <si>
    <t>BẢNG 2.20: ĐỊNH MỨC CHI PHÍ THẨM TRA DỰ TOÁN XÂY DỰNG CÔNG TRÌNH</t>
  </si>
  <si>
    <t>BẢNG 2.19: ĐỊNH MỨC CHI PHÍ THẨM TRA THIẾT KẾ XÂY DỰNG CÔNG TRÌNH</t>
  </si>
  <si>
    <t>BẢNG 2.24: ĐỊNH MỨC CHI PHÍ GIÁM SÁT THI CÔNG XÂY DỰNG CÔNG TRÌNH</t>
  </si>
  <si>
    <t>BẢNG 2.25: ĐỊNH MỨC CHI PHÍ GIÁM SÁT LẮP ĐẶT THIẾT BỊ CÔNG TRÌNH</t>
  </si>
  <si>
    <t>BẢNG 2.3: ĐỊNH MỨC CHI PHÍ LẬP BÁO CÁO NGHIÊN CỨU KHẢ THI (BCNCKT)</t>
  </si>
  <si>
    <t>BẢNG 2.18: ĐỊNH MỨC CHI PHÍ THẨM TRA BÁO CÁO NGHIÊN CỨU KHẢ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</si>
</sst>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ptos"/>
    </font>
    <font>
      <b/>
      <sz val="14"/>
      <color rgb="FF000000"/>
      <name val="Aptos"/>
    </font>
    <font>
      <i/>
      <sz val="9"/>
      <color rgb="FF000000"/>
      <name val="Aptos"/>
    </font>
    <font>
      <b/>
      <sz val="10"/>
      <color rgb="FF000000"/>
      <name val="Aptos"/>
    </font>
    <font>
      <sz val="10"/>
      <color rgb="FF000000"/>
      <name val="Aptos"/>
    </font>
  </fonts>
  <fills count="8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3" fontId="4" fillId="6" borderId="1" xfId="0" applyNumberFormat="1" applyFont="1" applyFill="1" applyBorder="1" applyAlignment="1">
      <alignment horizontal="right" vertical="center"/>
    </xf>
    <xf numFmtId="10" fontId="4" fillId="6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3" fontId="4" fillId="5" borderId="2" xfId="0" applyNumberFormat="1" applyFont="1" applyFill="1" applyBorder="1" applyAlignment="1">
      <alignment horizontal="right" vertical="center"/>
    </xf>
    <xf numFmtId="10" fontId="4" fillId="5" borderId="2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7" borderId="1" xfId="0" applyFont="1" applyFill="1" applyBorder="1"/>
    <xf numFmtId="0" fontId="3" fillId="0" borderId="1" xfId="0" applyFont="1" applyBorder="1" applyAlignment="1">
      <alignment horizontal="left" vertical="center"/>
    </xf>
    <xf numFmtId="0" fontId="4" fillId="5" borderId="2" xfId="0" applyFont="1" applyFill="1" applyBorder="1"/>
    <xf numFmtId="4" fontId="5" fillId="0" borderId="1" xfId="0" applyNumberFormat="1" applyFont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/>
    <xf numFmtId="0" fontId="3" fillId="0" borderId="1" xfId="0" applyFont="1" applyBorder="1"/>
    <xf numFmtId="165" fontId="5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2:M47"/>
  <sheetViews>
    <sheetView tabSelected="1" workbookViewId="0"/>
  </sheetViews>
  <sheetFormatPr defaultRowHeight="14.5" outlineLevelRow="1" x14ac:dyDescent="0.35"/>
  <cols>
    <col min="2" max="2" width="12" customWidth="1"/>
    <col min="3" max="3" width="46" customWidth="1"/>
    <col min="4" max="4" width="38" customWidth="1"/>
    <col min="5" max="5" width="8" customWidth="1"/>
    <col min="6" max="12" width="19" customWidth="1"/>
    <col min="13" max="13" width="12" customWidth="1"/>
  </cols>
  <sheetData>
    <row r="2" spans="2:13" x14ac:dyDescent="0.35">
      <c r="B2" s="1" t="s">
        <v>0</v>
      </c>
    </row>
    <row r="3" spans="2:13" ht="18.5" x14ac:dyDescent="0.45">
      <c r="B3" s="2" t="s">
        <v>1</v>
      </c>
    </row>
    <row r="4" spans="2:13" x14ac:dyDescent="0.35">
      <c r="B4" s="3" t="s">
        <v>2</v>
      </c>
    </row>
    <row r="5" spans="2:13" x14ac:dyDescent="0.35">
      <c r="B5" s="4" t="s">
        <v>3</v>
      </c>
    </row>
    <row r="7" spans="2:13" ht="28" customHeight="1" x14ac:dyDescent="0.35"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</row>
    <row r="8" spans="2:13" ht="24" customHeight="1" x14ac:dyDescent="0.35">
      <c r="B8" s="6" t="s">
        <v>16</v>
      </c>
      <c r="C8" s="7" t="s">
        <v>17</v>
      </c>
      <c r="D8" s="7" t="s">
        <v>18</v>
      </c>
      <c r="E8" s="6" t="s">
        <v>19</v>
      </c>
      <c r="F8" s="8">
        <f>SUM(F9:F15)</f>
        <v>825920000000</v>
      </c>
      <c r="G8" s="8">
        <f t="shared" ref="G8:G43" si="0">F8/45371.85</f>
        <v>18203357.368059713</v>
      </c>
      <c r="H8" s="8">
        <f>SUM(H9:H15)</f>
        <v>1499300000000</v>
      </c>
      <c r="I8" s="8">
        <f t="shared" ref="I8:I43" si="1">H8/74504.6</f>
        <v>20123589.684395324</v>
      </c>
      <c r="J8" s="8">
        <f>SUM(J9:J15)</f>
        <v>51072044799</v>
      </c>
      <c r="K8" s="8">
        <f>SUM(K9:K15)</f>
        <v>2376292044799</v>
      </c>
      <c r="L8" s="8">
        <f t="shared" ref="L8:L43" si="2">K8/119876.45</f>
        <v>19822842.975405093</v>
      </c>
      <c r="M8" s="9">
        <f t="shared" ref="M8:M43" si="3">K8/$K$47</f>
        <v>0.86590702643958606</v>
      </c>
    </row>
    <row r="9" spans="2:13" ht="20" customHeight="1" outlineLevel="1" x14ac:dyDescent="0.35">
      <c r="B9" s="10" t="s">
        <v>20</v>
      </c>
      <c r="C9" s="11" t="s">
        <v>21</v>
      </c>
      <c r="D9" s="11" t="s">
        <v>22</v>
      </c>
      <c r="E9" s="10" t="s">
        <v>19</v>
      </c>
      <c r="F9" s="12">
        <f>'2.Tieu Chuan Ban Giao'!H10</f>
        <v>116180000000</v>
      </c>
      <c r="G9" s="12">
        <f t="shared" si="0"/>
        <v>2560618.5332976286</v>
      </c>
      <c r="H9" s="12">
        <f>'2.Tieu Chuan Ban Giao'!L10</f>
        <v>190580000000</v>
      </c>
      <c r="I9" s="12">
        <f t="shared" si="1"/>
        <v>2557962.8640379249</v>
      </c>
      <c r="J9" s="12">
        <f>'2.Tieu Chuan Ban Giao'!M10</f>
        <v>0</v>
      </c>
      <c r="K9" s="12">
        <f t="shared" ref="K9:K15" si="4">F9+H9+J9</f>
        <v>306760000000</v>
      </c>
      <c r="L9" s="12">
        <f t="shared" si="2"/>
        <v>2558968.0041409303</v>
      </c>
      <c r="M9" s="13">
        <f t="shared" si="3"/>
        <v>0.11178156321820094</v>
      </c>
    </row>
    <row r="10" spans="2:13" ht="20" customHeight="1" outlineLevel="1" x14ac:dyDescent="0.35">
      <c r="B10" s="10" t="s">
        <v>23</v>
      </c>
      <c r="C10" s="11" t="s">
        <v>24</v>
      </c>
      <c r="D10" s="11" t="s">
        <v>25</v>
      </c>
      <c r="E10" s="10" t="s">
        <v>19</v>
      </c>
      <c r="F10" s="12">
        <f>'2.Tieu Chuan Ban Giao'!H11</f>
        <v>94320000000</v>
      </c>
      <c r="G10" s="12">
        <f t="shared" si="0"/>
        <v>2078822.0008661759</v>
      </c>
      <c r="H10" s="12">
        <f>'2.Tieu Chuan Ban Giao'!L11</f>
        <v>154720000000</v>
      </c>
      <c r="I10" s="12">
        <f t="shared" si="1"/>
        <v>2076650.300786797</v>
      </c>
      <c r="J10" s="12">
        <f>'2.Tieu Chuan Ban Giao'!M11</f>
        <v>0</v>
      </c>
      <c r="K10" s="12">
        <f t="shared" si="4"/>
        <v>249040000000</v>
      </c>
      <c r="L10" s="12">
        <f t="shared" si="2"/>
        <v>2077472.2641519664</v>
      </c>
      <c r="M10" s="13">
        <f t="shared" si="3"/>
        <v>9.0748730290327179E-2</v>
      </c>
    </row>
    <row r="11" spans="2:13" ht="20" customHeight="1" outlineLevel="1" x14ac:dyDescent="0.35">
      <c r="B11" s="10" t="s">
        <v>26</v>
      </c>
      <c r="C11" s="11" t="s">
        <v>27</v>
      </c>
      <c r="D11" s="11" t="s">
        <v>28</v>
      </c>
      <c r="E11" s="10" t="s">
        <v>19</v>
      </c>
      <c r="F11" s="12">
        <f>'2.Tieu Chuan Ban Giao'!H12</f>
        <v>162600000000</v>
      </c>
      <c r="G11" s="12">
        <f t="shared" si="0"/>
        <v>3583719.8615441071</v>
      </c>
      <c r="H11" s="12">
        <f>'2.Tieu Chuan Ban Giao'!L12</f>
        <v>266720000000</v>
      </c>
      <c r="I11" s="12">
        <f t="shared" si="1"/>
        <v>3579913.1865683459</v>
      </c>
      <c r="J11" s="12">
        <f>'2.Tieu Chuan Ban Giao'!M12</f>
        <v>0</v>
      </c>
      <c r="K11" s="12">
        <f t="shared" si="4"/>
        <v>429320000000</v>
      </c>
      <c r="L11" s="12">
        <f t="shared" si="2"/>
        <v>3581353.9690239411</v>
      </c>
      <c r="M11" s="13">
        <f t="shared" si="3"/>
        <v>0.1564417157414201</v>
      </c>
    </row>
    <row r="12" spans="2:13" ht="20" customHeight="1" outlineLevel="1" x14ac:dyDescent="0.35">
      <c r="B12" s="10" t="s">
        <v>29</v>
      </c>
      <c r="C12" s="11" t="s">
        <v>30</v>
      </c>
      <c r="D12" s="11" t="s">
        <v>31</v>
      </c>
      <c r="E12" s="10" t="s">
        <v>19</v>
      </c>
      <c r="F12" s="12">
        <f>'2.Tieu Chuan Ban Giao'!H14+'2.Tieu Chuan Ban Giao'!H15</f>
        <v>71340000000</v>
      </c>
      <c r="G12" s="12">
        <f t="shared" si="0"/>
        <v>1572340.5591793149</v>
      </c>
      <c r="H12" s="12">
        <f>'2.Tieu Chuan Ban Giao'!L14+'2.Tieu Chuan Ban Giao'!L15</f>
        <v>117030000000</v>
      </c>
      <c r="I12" s="12">
        <f t="shared" si="1"/>
        <v>1570775.4957412025</v>
      </c>
      <c r="J12" s="12">
        <f>'2.Tieu Chuan Ban Giao'!M14+'2.Tieu Chuan Ban Giao'!M15</f>
        <v>0</v>
      </c>
      <c r="K12" s="12">
        <f t="shared" si="4"/>
        <v>188370000000</v>
      </c>
      <c r="L12" s="12">
        <f t="shared" si="2"/>
        <v>1571367.8541531719</v>
      </c>
      <c r="M12" s="13">
        <f t="shared" si="3"/>
        <v>6.8640934487588054E-2</v>
      </c>
    </row>
    <row r="13" spans="2:13" ht="20" customHeight="1" outlineLevel="1" x14ac:dyDescent="0.35">
      <c r="B13" s="10" t="s">
        <v>32</v>
      </c>
      <c r="C13" s="11" t="s">
        <v>33</v>
      </c>
      <c r="D13" s="11" t="s">
        <v>34</v>
      </c>
      <c r="E13" s="10" t="s">
        <v>19</v>
      </c>
      <c r="F13" s="12">
        <f>SUM('2.Tieu Chuan Ban Giao'!H16:H19)</f>
        <v>146110000000</v>
      </c>
      <c r="G13" s="12">
        <f t="shared" si="0"/>
        <v>3220278.6529533179</v>
      </c>
      <c r="H13" s="12">
        <f>SUM('2.Tieu Chuan Ban Giao'!L16:L19)</f>
        <v>335530000000</v>
      </c>
      <c r="I13" s="12">
        <f t="shared" si="1"/>
        <v>4503480.3220203854</v>
      </c>
      <c r="J13" s="12">
        <f>SUM('2.Tieu Chuan Ban Giao'!M16:M19)</f>
        <v>0</v>
      </c>
      <c r="K13" s="12">
        <f t="shared" si="4"/>
        <v>481640000000</v>
      </c>
      <c r="L13" s="12">
        <f t="shared" si="2"/>
        <v>4017803.3300118581</v>
      </c>
      <c r="M13" s="13">
        <f t="shared" si="3"/>
        <v>0.17550682001699799</v>
      </c>
    </row>
    <row r="14" spans="2:13" ht="20" customHeight="1" outlineLevel="1" x14ac:dyDescent="0.35">
      <c r="B14" s="10" t="s">
        <v>35</v>
      </c>
      <c r="C14" s="11" t="s">
        <v>36</v>
      </c>
      <c r="D14" s="11" t="s">
        <v>37</v>
      </c>
      <c r="E14" s="10" t="s">
        <v>19</v>
      </c>
      <c r="F14" s="12">
        <f>SUM('2.Tieu Chuan Ban Giao'!H21:H24)</f>
        <v>235370000000</v>
      </c>
      <c r="G14" s="12">
        <f t="shared" si="0"/>
        <v>5187577.760219167</v>
      </c>
      <c r="H14" s="12">
        <f>SUM('2.Tieu Chuan Ban Giao'!L21:L24)</f>
        <v>434720000000</v>
      </c>
      <c r="I14" s="12">
        <f t="shared" si="1"/>
        <v>5834807.5152406693</v>
      </c>
      <c r="J14" s="12">
        <f>SUM('2.Tieu Chuan Ban Giao'!M21:M24)</f>
        <v>0</v>
      </c>
      <c r="K14" s="12">
        <f t="shared" si="4"/>
        <v>670090000000</v>
      </c>
      <c r="L14" s="12">
        <f t="shared" si="2"/>
        <v>5589838.5379280085</v>
      </c>
      <c r="M14" s="13">
        <f t="shared" si="3"/>
        <v>0.24417690604017561</v>
      </c>
    </row>
    <row r="15" spans="2:13" ht="20" customHeight="1" outlineLevel="1" x14ac:dyDescent="0.35">
      <c r="B15" s="10" t="s">
        <v>38</v>
      </c>
      <c r="C15" s="11" t="s">
        <v>39</v>
      </c>
      <c r="D15" s="11" t="s">
        <v>40</v>
      </c>
      <c r="E15" s="10" t="s">
        <v>19</v>
      </c>
      <c r="F15" s="12">
        <f>'2.Tieu Chuan Ban Giao'!H26+'2.Tieu Chuan Ban Giao'!H27</f>
        <v>0</v>
      </c>
      <c r="G15" s="12">
        <f t="shared" si="0"/>
        <v>0</v>
      </c>
      <c r="H15" s="12">
        <f>'2.Tieu Chuan Ban Giao'!L26+'2.Tieu Chuan Ban Giao'!L27</f>
        <v>0</v>
      </c>
      <c r="I15" s="12">
        <f t="shared" si="1"/>
        <v>0</v>
      </c>
      <c r="J15" s="12">
        <f>'2.Tieu Chuan Ban Giao'!M26+'2.Tieu Chuan Ban Giao'!M27</f>
        <v>51072044799</v>
      </c>
      <c r="K15" s="12">
        <f t="shared" si="4"/>
        <v>51072044799</v>
      </c>
      <c r="L15" s="12">
        <f t="shared" si="2"/>
        <v>426039.01599521842</v>
      </c>
      <c r="M15" s="13">
        <f t="shared" si="3"/>
        <v>1.8610356644876154E-2</v>
      </c>
    </row>
    <row r="16" spans="2:13" ht="24" customHeight="1" x14ac:dyDescent="0.35">
      <c r="B16" s="6" t="s">
        <v>41</v>
      </c>
      <c r="C16" s="7" t="s">
        <v>42</v>
      </c>
      <c r="D16" s="7" t="s">
        <v>43</v>
      </c>
      <c r="E16" s="6" t="s">
        <v>19</v>
      </c>
      <c r="F16" s="8">
        <f>F8*'3.CSDL Don Gia &amp; Delta Options'!$D$10</f>
        <v>7780166400</v>
      </c>
      <c r="G16" s="8">
        <f t="shared" si="0"/>
        <v>171475.62640712247</v>
      </c>
      <c r="H16" s="8">
        <f>H8*'3.CSDL Don Gia &amp; Delta Options'!$D$10</f>
        <v>14123406000</v>
      </c>
      <c r="I16" s="8">
        <f t="shared" si="1"/>
        <v>189564.21482700395</v>
      </c>
      <c r="J16" s="8">
        <f>J8*'3.CSDL Don Gia &amp; Delta Options'!$D$10</f>
        <v>481098662.00658</v>
      </c>
      <c r="K16" s="8">
        <f>K8*'3.CSDL Don Gia &amp; Delta Options'!$D$10</f>
        <v>22384671062.00658</v>
      </c>
      <c r="L16" s="8">
        <f t="shared" si="2"/>
        <v>186731.18082831599</v>
      </c>
      <c r="M16" s="9">
        <f t="shared" si="3"/>
        <v>8.1568441890609005E-3</v>
      </c>
    </row>
    <row r="17" spans="2:13" ht="24" customHeight="1" x14ac:dyDescent="0.35">
      <c r="B17" s="6" t="s">
        <v>44</v>
      </c>
      <c r="C17" s="7" t="s">
        <v>45</v>
      </c>
      <c r="D17" s="7" t="s">
        <v>46</v>
      </c>
      <c r="E17" s="6" t="s">
        <v>19</v>
      </c>
      <c r="F17" s="8">
        <f t="shared" ref="F17:F39" si="5">K17*($F$8/$K$8)</f>
        <v>16278545325.542622</v>
      </c>
      <c r="G17" s="8">
        <f t="shared" si="0"/>
        <v>358780.72693845682</v>
      </c>
      <c r="H17" s="8">
        <f t="shared" ref="H17:H39" si="6">K17*($H$8/$K$8)</f>
        <v>29550589653.460445</v>
      </c>
      <c r="I17" s="8">
        <f t="shared" si="1"/>
        <v>396627.72034827975</v>
      </c>
      <c r="J17" s="8">
        <f t="shared" ref="J17:J39" si="7">K17*($J$8/$K$8)</f>
        <v>1006609109.9969304</v>
      </c>
      <c r="K17" s="8">
        <f>SUM(K18:K29)</f>
        <v>46835744089</v>
      </c>
      <c r="L17" s="8">
        <f t="shared" si="2"/>
        <v>390700.12574613281</v>
      </c>
      <c r="M17" s="9">
        <f t="shared" si="3"/>
        <v>1.7066673258430157E-2</v>
      </c>
    </row>
    <row r="18" spans="2:13" ht="20" customHeight="1" outlineLevel="1" x14ac:dyDescent="0.35">
      <c r="B18" s="10" t="s">
        <v>47</v>
      </c>
      <c r="C18" s="11" t="s">
        <v>48</v>
      </c>
      <c r="D18" s="11" t="s">
        <v>49</v>
      </c>
      <c r="E18" s="10" t="s">
        <v>19</v>
      </c>
      <c r="F18" s="12">
        <f t="shared" si="5"/>
        <v>291874195.16423398</v>
      </c>
      <c r="G18" s="12">
        <f t="shared" si="0"/>
        <v>6432.9357335932737</v>
      </c>
      <c r="H18" s="12">
        <f t="shared" si="6"/>
        <v>529841850.0699051</v>
      </c>
      <c r="I18" s="12">
        <f t="shared" si="1"/>
        <v>7111.5320405707171</v>
      </c>
      <c r="J18" s="12">
        <f t="shared" si="7"/>
        <v>18048493.765860889</v>
      </c>
      <c r="K18" s="12">
        <v>839764539</v>
      </c>
      <c r="L18" s="12">
        <f t="shared" si="2"/>
        <v>7005.2503139690907</v>
      </c>
      <c r="M18" s="13">
        <f t="shared" si="3"/>
        <v>3.0600532306895254E-4</v>
      </c>
    </row>
    <row r="19" spans="2:13" ht="20" customHeight="1" outlineLevel="1" x14ac:dyDescent="0.35">
      <c r="B19" s="10" t="s">
        <v>50</v>
      </c>
      <c r="C19" s="11" t="s">
        <v>51</v>
      </c>
      <c r="D19" s="11" t="s">
        <v>52</v>
      </c>
      <c r="E19" s="10" t="s">
        <v>19</v>
      </c>
      <c r="F19" s="12">
        <f t="shared" si="5"/>
        <v>0</v>
      </c>
      <c r="G19" s="12">
        <f t="shared" si="0"/>
        <v>0</v>
      </c>
      <c r="H19" s="12">
        <f t="shared" si="6"/>
        <v>0</v>
      </c>
      <c r="I19" s="12">
        <f t="shared" si="1"/>
        <v>0</v>
      </c>
      <c r="J19" s="12">
        <f t="shared" si="7"/>
        <v>0</v>
      </c>
      <c r="K19" s="12">
        <v>0</v>
      </c>
      <c r="L19" s="12">
        <f t="shared" si="2"/>
        <v>0</v>
      </c>
      <c r="M19" s="13">
        <f t="shared" si="3"/>
        <v>0</v>
      </c>
    </row>
    <row r="20" spans="2:13" ht="20" customHeight="1" outlineLevel="1" x14ac:dyDescent="0.35">
      <c r="B20" s="10" t="s">
        <v>53</v>
      </c>
      <c r="C20" s="11" t="s">
        <v>54</v>
      </c>
      <c r="D20" s="11" t="s">
        <v>49</v>
      </c>
      <c r="E20" s="10" t="s">
        <v>19</v>
      </c>
      <c r="F20" s="12">
        <f t="shared" si="5"/>
        <v>243930864.85336867</v>
      </c>
      <c r="G20" s="12">
        <f t="shared" si="0"/>
        <v>5376.2600566952569</v>
      </c>
      <c r="H20" s="12">
        <f t="shared" si="6"/>
        <v>442809891.60530758</v>
      </c>
      <c r="I20" s="12">
        <f t="shared" si="1"/>
        <v>5943.3899598857997</v>
      </c>
      <c r="J20" s="12">
        <f t="shared" si="7"/>
        <v>15083843.541323686</v>
      </c>
      <c r="K20" s="12">
        <v>701824600</v>
      </c>
      <c r="L20" s="12">
        <f t="shared" si="2"/>
        <v>5854.5660970107137</v>
      </c>
      <c r="M20" s="13">
        <f t="shared" si="3"/>
        <v>2.5574081005668467E-4</v>
      </c>
    </row>
    <row r="21" spans="2:13" ht="20" customHeight="1" outlineLevel="1" x14ac:dyDescent="0.35">
      <c r="B21" s="10" t="s">
        <v>55</v>
      </c>
      <c r="C21" s="11" t="s">
        <v>56</v>
      </c>
      <c r="D21" s="11" t="s">
        <v>57</v>
      </c>
      <c r="E21" s="10" t="s">
        <v>19</v>
      </c>
      <c r="F21" s="12">
        <f t="shared" si="5"/>
        <v>486593389.28090602</v>
      </c>
      <c r="G21" s="12">
        <f t="shared" si="0"/>
        <v>10724.565766679252</v>
      </c>
      <c r="H21" s="12">
        <f t="shared" si="6"/>
        <v>883317353.43479073</v>
      </c>
      <c r="I21" s="12">
        <f t="shared" si="1"/>
        <v>11855.876730225928</v>
      </c>
      <c r="J21" s="12">
        <f t="shared" si="7"/>
        <v>30089257.284303173</v>
      </c>
      <c r="K21" s="12">
        <v>1400000000</v>
      </c>
      <c r="L21" s="12">
        <f t="shared" si="2"/>
        <v>11678.690852123165</v>
      </c>
      <c r="M21" s="13">
        <f t="shared" si="3"/>
        <v>5.1015187281745116E-4</v>
      </c>
    </row>
    <row r="22" spans="2:13" ht="20" customHeight="1" outlineLevel="1" x14ac:dyDescent="0.35">
      <c r="B22" s="10" t="s">
        <v>58</v>
      </c>
      <c r="C22" s="11" t="s">
        <v>59</v>
      </c>
      <c r="D22" s="11" t="s">
        <v>49</v>
      </c>
      <c r="E22" s="10" t="s">
        <v>19</v>
      </c>
      <c r="F22" s="12">
        <f t="shared" si="5"/>
        <v>54929442.315681703</v>
      </c>
      <c r="G22" s="12">
        <f t="shared" si="0"/>
        <v>1210.6502669757065</v>
      </c>
      <c r="H22" s="12">
        <f t="shared" si="6"/>
        <v>99713910.383453086</v>
      </c>
      <c r="I22" s="12">
        <f t="shared" si="1"/>
        <v>1338.3591131749324</v>
      </c>
      <c r="J22" s="12">
        <f t="shared" si="7"/>
        <v>3396647.3008651952</v>
      </c>
      <c r="K22" s="12">
        <v>158040000</v>
      </c>
      <c r="L22" s="12">
        <f t="shared" si="2"/>
        <v>1318.3573587639607</v>
      </c>
      <c r="M22" s="13">
        <f t="shared" si="3"/>
        <v>5.7588858557192847E-5</v>
      </c>
    </row>
    <row r="23" spans="2:13" ht="20" customHeight="1" outlineLevel="1" x14ac:dyDescent="0.35">
      <c r="B23" s="10" t="s">
        <v>60</v>
      </c>
      <c r="C23" s="11" t="s">
        <v>61</v>
      </c>
      <c r="D23" s="11" t="s">
        <v>62</v>
      </c>
      <c r="E23" s="10" t="s">
        <v>19</v>
      </c>
      <c r="F23" s="12">
        <f t="shared" si="5"/>
        <v>104270011.98876557</v>
      </c>
      <c r="G23" s="12">
        <f t="shared" si="0"/>
        <v>2298.1212357169825</v>
      </c>
      <c r="H23" s="12">
        <f t="shared" si="6"/>
        <v>189282290.02174088</v>
      </c>
      <c r="I23" s="12">
        <f t="shared" si="1"/>
        <v>2540.5450136198419</v>
      </c>
      <c r="J23" s="12">
        <f t="shared" si="7"/>
        <v>6447697.9894935377</v>
      </c>
      <c r="K23" s="12">
        <v>300000000</v>
      </c>
      <c r="L23" s="12">
        <f t="shared" si="2"/>
        <v>2502.5766111692496</v>
      </c>
      <c r="M23" s="13">
        <f t="shared" si="3"/>
        <v>1.093182584608824E-4</v>
      </c>
    </row>
    <row r="24" spans="2:13" ht="20" customHeight="1" outlineLevel="1" x14ac:dyDescent="0.35">
      <c r="B24" s="10" t="s">
        <v>63</v>
      </c>
      <c r="C24" s="11" t="s">
        <v>64</v>
      </c>
      <c r="D24" s="11" t="s">
        <v>49</v>
      </c>
      <c r="E24" s="10" t="s">
        <v>19</v>
      </c>
      <c r="F24" s="12">
        <f t="shared" si="5"/>
        <v>4699353553.6306391</v>
      </c>
      <c r="G24" s="12">
        <f t="shared" si="0"/>
        <v>103574.21074147602</v>
      </c>
      <c r="H24" s="12">
        <f t="shared" si="6"/>
        <v>8530778747.2859573</v>
      </c>
      <c r="I24" s="12">
        <f t="shared" si="1"/>
        <v>114500.02747865174</v>
      </c>
      <c r="J24" s="12">
        <f t="shared" si="7"/>
        <v>290591819.08340257</v>
      </c>
      <c r="K24" s="12">
        <v>13520724120</v>
      </c>
      <c r="L24" s="12">
        <f t="shared" si="2"/>
        <v>112788.82649594646</v>
      </c>
      <c r="M24" s="13">
        <f t="shared" si="3"/>
        <v>4.9268733797614888E-3</v>
      </c>
    </row>
    <row r="25" spans="2:13" ht="20" customHeight="1" outlineLevel="1" x14ac:dyDescent="0.35">
      <c r="B25" s="10" t="s">
        <v>65</v>
      </c>
      <c r="C25" s="11" t="s">
        <v>66</v>
      </c>
      <c r="D25" s="11" t="s">
        <v>49</v>
      </c>
      <c r="E25" s="10" t="s">
        <v>19</v>
      </c>
      <c r="F25" s="12">
        <f t="shared" si="5"/>
        <v>563058064.73933411</v>
      </c>
      <c r="G25" s="12">
        <f t="shared" si="0"/>
        <v>12409.854672871706</v>
      </c>
      <c r="H25" s="12">
        <f t="shared" si="6"/>
        <v>1022124366.1174008</v>
      </c>
      <c r="I25" s="12">
        <f t="shared" si="1"/>
        <v>13718.943073547145</v>
      </c>
      <c r="J25" s="12">
        <f t="shared" si="7"/>
        <v>34817569.143265098</v>
      </c>
      <c r="K25" s="12">
        <v>1620000000</v>
      </c>
      <c r="L25" s="12">
        <f t="shared" si="2"/>
        <v>13513.913700313949</v>
      </c>
      <c r="M25" s="13">
        <f t="shared" si="3"/>
        <v>5.9031859568876497E-4</v>
      </c>
    </row>
    <row r="26" spans="2:13" ht="20" customHeight="1" outlineLevel="1" x14ac:dyDescent="0.35">
      <c r="B26" s="10" t="s">
        <v>67</v>
      </c>
      <c r="C26" s="11" t="s">
        <v>68</v>
      </c>
      <c r="D26" s="11" t="s">
        <v>69</v>
      </c>
      <c r="E26" s="10" t="s">
        <v>19</v>
      </c>
      <c r="F26" s="12">
        <f t="shared" si="5"/>
        <v>319586611.47338766</v>
      </c>
      <c r="G26" s="12">
        <f t="shared" si="0"/>
        <v>7043.7200923785931</v>
      </c>
      <c r="H26" s="12">
        <f t="shared" si="6"/>
        <v>580148448.49628305</v>
      </c>
      <c r="I26" s="12">
        <f t="shared" si="1"/>
        <v>7786.746704180453</v>
      </c>
      <c r="J26" s="12">
        <f t="shared" si="7"/>
        <v>19762134.030329164</v>
      </c>
      <c r="K26" s="12">
        <f>919497194*($K$8/2376292044799)</f>
        <v>919497194</v>
      </c>
      <c r="L26" s="12">
        <f t="shared" si="2"/>
        <v>7670.373905800514</v>
      </c>
      <c r="M26" s="13">
        <f t="shared" si="3"/>
        <v>3.3505943969249375E-4</v>
      </c>
    </row>
    <row r="27" spans="2:13" ht="20" customHeight="1" outlineLevel="1" x14ac:dyDescent="0.35">
      <c r="B27" s="10" t="s">
        <v>70</v>
      </c>
      <c r="C27" s="11" t="s">
        <v>71</v>
      </c>
      <c r="D27" s="11" t="s">
        <v>72</v>
      </c>
      <c r="E27" s="10" t="s">
        <v>19</v>
      </c>
      <c r="F27" s="12">
        <f t="shared" si="5"/>
        <v>5091595786.8160305</v>
      </c>
      <c r="G27" s="12">
        <f t="shared" si="0"/>
        <v>112219.26782390471</v>
      </c>
      <c r="H27" s="12">
        <f t="shared" si="6"/>
        <v>9242819598.9602814</v>
      </c>
      <c r="I27" s="12">
        <f t="shared" si="1"/>
        <v>124057.03270617225</v>
      </c>
      <c r="J27" s="12">
        <f t="shared" si="7"/>
        <v>314846726.22368747</v>
      </c>
      <c r="K27" s="12">
        <f>14649262112*($K$8/2376292044799)</f>
        <v>14649262112</v>
      </c>
      <c r="L27" s="12">
        <f t="shared" si="2"/>
        <v>122203.00244126348</v>
      </c>
      <c r="M27" s="13">
        <f t="shared" si="3"/>
        <v>5.3381060727360928E-3</v>
      </c>
    </row>
    <row r="28" spans="2:13" ht="20" customHeight="1" outlineLevel="1" x14ac:dyDescent="0.35">
      <c r="B28" s="10" t="s">
        <v>73</v>
      </c>
      <c r="C28" s="11" t="s">
        <v>74</v>
      </c>
      <c r="D28" s="11" t="s">
        <v>75</v>
      </c>
      <c r="E28" s="10" t="s">
        <v>19</v>
      </c>
      <c r="F28" s="12">
        <f t="shared" si="5"/>
        <v>293770783.61386675</v>
      </c>
      <c r="G28" s="12">
        <f t="shared" si="0"/>
        <v>6474.7367280343815</v>
      </c>
      <c r="H28" s="12">
        <f t="shared" si="6"/>
        <v>533284744.1305095</v>
      </c>
      <c r="I28" s="12">
        <f t="shared" si="1"/>
        <v>7157.7425304009348</v>
      </c>
      <c r="J28" s="12">
        <f t="shared" si="7"/>
        <v>18165772.255623713</v>
      </c>
      <c r="K28" s="12">
        <f>845221300*($K$8/2376292044799)</f>
        <v>845221300</v>
      </c>
      <c r="L28" s="12">
        <f t="shared" si="2"/>
        <v>7050.7701888068923</v>
      </c>
      <c r="M28" s="13">
        <f t="shared" si="3"/>
        <v>3.0799373510014341E-4</v>
      </c>
    </row>
    <row r="29" spans="2:13" ht="20" customHeight="1" outlineLevel="1" x14ac:dyDescent="0.35">
      <c r="B29" s="10" t="s">
        <v>76</v>
      </c>
      <c r="C29" s="11" t="s">
        <v>77</v>
      </c>
      <c r="D29" s="11" t="s">
        <v>78</v>
      </c>
      <c r="E29" s="10" t="s">
        <v>19</v>
      </c>
      <c r="F29" s="12">
        <f t="shared" si="5"/>
        <v>4129582621.6664062</v>
      </c>
      <c r="G29" s="12">
        <f t="shared" si="0"/>
        <v>91016.403820130901</v>
      </c>
      <c r="H29" s="12">
        <f t="shared" si="6"/>
        <v>7496468452.9548178</v>
      </c>
      <c r="I29" s="12">
        <f t="shared" si="1"/>
        <v>100617.52499785002</v>
      </c>
      <c r="J29" s="12">
        <f t="shared" si="7"/>
        <v>255359149.37877586</v>
      </c>
      <c r="K29" s="12">
        <f>11881410224*($K$8/2376292044799)</f>
        <v>11881410224</v>
      </c>
      <c r="L29" s="12">
        <f t="shared" si="2"/>
        <v>99113.797780965324</v>
      </c>
      <c r="M29" s="13">
        <f t="shared" si="3"/>
        <v>4.3295169124900083E-3</v>
      </c>
    </row>
    <row r="30" spans="2:13" ht="24" customHeight="1" x14ac:dyDescent="0.35">
      <c r="B30" s="6" t="s">
        <v>79</v>
      </c>
      <c r="C30" s="7" t="s">
        <v>80</v>
      </c>
      <c r="D30" s="7" t="s">
        <v>81</v>
      </c>
      <c r="E30" s="6" t="s">
        <v>19</v>
      </c>
      <c r="F30" s="8">
        <f t="shared" si="5"/>
        <v>17130967154.91761</v>
      </c>
      <c r="G30" s="8">
        <f t="shared" si="0"/>
        <v>377568.18721118075</v>
      </c>
      <c r="H30" s="8">
        <f t="shared" si="6"/>
        <v>31097998662.543556</v>
      </c>
      <c r="I30" s="8">
        <f t="shared" si="1"/>
        <v>417397.0286739819</v>
      </c>
      <c r="J30" s="8">
        <f t="shared" si="7"/>
        <v>1059319936.5388292</v>
      </c>
      <c r="K30" s="8">
        <f>SUM(K31:K39)</f>
        <v>49288285754</v>
      </c>
      <c r="L30" s="8">
        <f t="shared" si="2"/>
        <v>411159.03710862307</v>
      </c>
      <c r="M30" s="9">
        <f t="shared" si="3"/>
        <v>1.7960365203831999E-2</v>
      </c>
    </row>
    <row r="31" spans="2:13" ht="20" customHeight="1" outlineLevel="1" x14ac:dyDescent="0.35">
      <c r="B31" s="10" t="s">
        <v>82</v>
      </c>
      <c r="C31" s="11" t="s">
        <v>83</v>
      </c>
      <c r="D31" s="11" t="s">
        <v>84</v>
      </c>
      <c r="E31" s="10" t="s">
        <v>19</v>
      </c>
      <c r="F31" s="12">
        <f t="shared" si="5"/>
        <v>726333207.89406288</v>
      </c>
      <c r="G31" s="12">
        <f t="shared" si="0"/>
        <v>16008.454755405894</v>
      </c>
      <c r="H31" s="12">
        <f t="shared" si="6"/>
        <v>1318519201.1279161</v>
      </c>
      <c r="I31" s="12">
        <f t="shared" si="1"/>
        <v>17697.151600410121</v>
      </c>
      <c r="J31" s="12">
        <f t="shared" si="7"/>
        <v>44913940.978020824</v>
      </c>
      <c r="K31" s="12">
        <f>2089766350*($K$8/2376292044799)</f>
        <v>2089766350</v>
      </c>
      <c r="L31" s="12">
        <f t="shared" si="2"/>
        <v>17432.667967728441</v>
      </c>
      <c r="M31" s="13">
        <f t="shared" si="3"/>
        <v>7.6149872657384936E-4</v>
      </c>
    </row>
    <row r="32" spans="2:13" ht="20" customHeight="1" outlineLevel="1" x14ac:dyDescent="0.35">
      <c r="B32" s="10" t="s">
        <v>85</v>
      </c>
      <c r="C32" s="11" t="s">
        <v>86</v>
      </c>
      <c r="D32" s="11" t="s">
        <v>87</v>
      </c>
      <c r="E32" s="10" t="s">
        <v>19</v>
      </c>
      <c r="F32" s="12">
        <f t="shared" si="5"/>
        <v>7440479.7041920554</v>
      </c>
      <c r="G32" s="12">
        <f t="shared" si="0"/>
        <v>163.98889849525764</v>
      </c>
      <c r="H32" s="12">
        <f t="shared" si="6"/>
        <v>13506769.68773628</v>
      </c>
      <c r="I32" s="12">
        <f t="shared" si="1"/>
        <v>181.28772837833208</v>
      </c>
      <c r="J32" s="12">
        <f t="shared" si="7"/>
        <v>460093.60807166185</v>
      </c>
      <c r="K32" s="12">
        <f>21407343*($K$8/2376292044799)</f>
        <v>21407343</v>
      </c>
      <c r="L32" s="12">
        <f t="shared" si="2"/>
        <v>178.57838633025921</v>
      </c>
      <c r="M32" s="13">
        <f t="shared" si="3"/>
        <v>7.8007115167825377E-6</v>
      </c>
    </row>
    <row r="33" spans="2:13" ht="20" customHeight="1" outlineLevel="1" x14ac:dyDescent="0.35">
      <c r="B33" s="10" t="s">
        <v>88</v>
      </c>
      <c r="C33" s="11" t="s">
        <v>89</v>
      </c>
      <c r="D33" s="11" t="s">
        <v>90</v>
      </c>
      <c r="E33" s="10" t="s">
        <v>19</v>
      </c>
      <c r="F33" s="12">
        <f t="shared" si="5"/>
        <v>19078152.713369332</v>
      </c>
      <c r="G33" s="12">
        <f t="shared" si="0"/>
        <v>420.48434686637933</v>
      </c>
      <c r="H33" s="12">
        <f t="shared" si="6"/>
        <v>34632742.109592497</v>
      </c>
      <c r="I33" s="12">
        <f t="shared" si="1"/>
        <v>464.84032005530526</v>
      </c>
      <c r="J33" s="12">
        <f t="shared" si="7"/>
        <v>1179727.1770381657</v>
      </c>
      <c r="K33" s="12">
        <f>54890622*($K$8/2376292044799)</f>
        <v>54890622</v>
      </c>
      <c r="L33" s="12">
        <f t="shared" si="2"/>
        <v>457.89328929910755</v>
      </c>
      <c r="M33" s="13">
        <f t="shared" si="3"/>
        <v>2.000182400958199E-5</v>
      </c>
    </row>
    <row r="34" spans="2:13" ht="20" customHeight="1" outlineLevel="1" x14ac:dyDescent="0.35">
      <c r="B34" s="10" t="s">
        <v>91</v>
      </c>
      <c r="C34" s="11" t="s">
        <v>92</v>
      </c>
      <c r="D34" s="11" t="s">
        <v>93</v>
      </c>
      <c r="E34" s="10" t="s">
        <v>19</v>
      </c>
      <c r="F34" s="12">
        <f t="shared" si="5"/>
        <v>201759224.49225453</v>
      </c>
      <c r="G34" s="12">
        <f t="shared" si="0"/>
        <v>4446.7929893150604</v>
      </c>
      <c r="H34" s="12">
        <f t="shared" si="6"/>
        <v>366255333.78685248</v>
      </c>
      <c r="I34" s="12">
        <f t="shared" si="1"/>
        <v>4915.8754464402527</v>
      </c>
      <c r="J34" s="12">
        <f t="shared" si="7"/>
        <v>12476094.72089297</v>
      </c>
      <c r="K34" s="12">
        <f>580490653*($K$8/2376292044799)</f>
        <v>580490653</v>
      </c>
      <c r="L34" s="12">
        <f t="shared" si="2"/>
        <v>4842.407770667216</v>
      </c>
      <c r="M34" s="13">
        <f t="shared" si="3"/>
        <v>2.1152742412926798E-4</v>
      </c>
    </row>
    <row r="35" spans="2:13" ht="20" customHeight="1" outlineLevel="1" x14ac:dyDescent="0.35">
      <c r="B35" s="10" t="s">
        <v>94</v>
      </c>
      <c r="C35" s="11" t="s">
        <v>95</v>
      </c>
      <c r="D35" s="11" t="s">
        <v>96</v>
      </c>
      <c r="E35" s="10" t="s">
        <v>19</v>
      </c>
      <c r="F35" s="12">
        <f t="shared" si="5"/>
        <v>195033916.81222489</v>
      </c>
      <c r="G35" s="12">
        <f t="shared" si="0"/>
        <v>4298.5665519969962</v>
      </c>
      <c r="H35" s="12">
        <f t="shared" si="6"/>
        <v>354046822.30309087</v>
      </c>
      <c r="I35" s="12">
        <f t="shared" si="1"/>
        <v>4752.0129267601042</v>
      </c>
      <c r="J35" s="12">
        <f t="shared" si="7"/>
        <v>12060224.884684218</v>
      </c>
      <c r="K35" s="12">
        <f>561140964*($K$8/2376292044799)</f>
        <v>561140964</v>
      </c>
      <c r="L35" s="12">
        <f t="shared" si="2"/>
        <v>4680.9941735845532</v>
      </c>
      <c r="M35" s="13">
        <f t="shared" si="3"/>
        <v>2.0447650978513567E-4</v>
      </c>
    </row>
    <row r="36" spans="2:13" ht="20" customHeight="1" outlineLevel="1" x14ac:dyDescent="0.35">
      <c r="B36" s="10" t="s">
        <v>97</v>
      </c>
      <c r="C36" s="11" t="s">
        <v>98</v>
      </c>
      <c r="D36" s="11" t="s">
        <v>99</v>
      </c>
      <c r="E36" s="10" t="s">
        <v>19</v>
      </c>
      <c r="F36" s="12">
        <f t="shared" si="5"/>
        <v>1116071936.8602061</v>
      </c>
      <c r="G36" s="12">
        <f t="shared" si="0"/>
        <v>24598.334360626824</v>
      </c>
      <c r="H36" s="12">
        <f t="shared" si="6"/>
        <v>2026015419.0896299</v>
      </c>
      <c r="I36" s="12">
        <f t="shared" si="1"/>
        <v>27193.158799451707</v>
      </c>
      <c r="J36" s="12">
        <f t="shared" si="7"/>
        <v>69014040.050163642</v>
      </c>
      <c r="K36" s="12">
        <f>3211101396*($K$8/2376292044799)</f>
        <v>3211101396</v>
      </c>
      <c r="L36" s="12">
        <f t="shared" si="2"/>
        <v>26786.757499075091</v>
      </c>
      <c r="M36" s="13">
        <f t="shared" si="3"/>
        <v>1.1701067078400942E-3</v>
      </c>
    </row>
    <row r="37" spans="2:13" ht="20" customHeight="1" outlineLevel="1" x14ac:dyDescent="0.35">
      <c r="B37" s="10" t="s">
        <v>100</v>
      </c>
      <c r="C37" s="11" t="s">
        <v>101</v>
      </c>
      <c r="D37" s="11" t="s">
        <v>102</v>
      </c>
      <c r="E37" s="10" t="s">
        <v>19</v>
      </c>
      <c r="F37" s="12">
        <f t="shared" si="5"/>
        <v>391102131.66677141</v>
      </c>
      <c r="G37" s="12">
        <f t="shared" si="0"/>
        <v>8619.9291337419872</v>
      </c>
      <c r="H37" s="12">
        <f t="shared" si="6"/>
        <v>709971215.13946915</v>
      </c>
      <c r="I37" s="12">
        <f t="shared" si="1"/>
        <v>9529.2265865392073</v>
      </c>
      <c r="J37" s="12">
        <f t="shared" si="7"/>
        <v>24184407.193759378</v>
      </c>
      <c r="K37" s="12">
        <f>1125257754*($K$8/2376292044799)</f>
        <v>1125257754</v>
      </c>
      <c r="L37" s="12">
        <f t="shared" si="2"/>
        <v>9386.8124556574712</v>
      </c>
      <c r="M37" s="13">
        <f t="shared" si="3"/>
        <v>4.1003739328961342E-4</v>
      </c>
    </row>
    <row r="38" spans="2:13" ht="20" customHeight="1" outlineLevel="1" x14ac:dyDescent="0.35">
      <c r="B38" s="10" t="s">
        <v>103</v>
      </c>
      <c r="C38" s="11" t="s">
        <v>104</v>
      </c>
      <c r="D38" s="11" t="s">
        <v>105</v>
      </c>
      <c r="E38" s="10" t="s">
        <v>19</v>
      </c>
      <c r="F38" s="12">
        <f t="shared" si="5"/>
        <v>2085400239.7753115</v>
      </c>
      <c r="G38" s="12">
        <f t="shared" si="0"/>
        <v>45962.42471433965</v>
      </c>
      <c r="H38" s="12">
        <f t="shared" si="6"/>
        <v>3785645800.4348173</v>
      </c>
      <c r="I38" s="12">
        <f t="shared" si="1"/>
        <v>50810.90027239683</v>
      </c>
      <c r="J38" s="12">
        <f t="shared" si="7"/>
        <v>128953959.78987074</v>
      </c>
      <c r="K38" s="12">
        <v>6000000000</v>
      </c>
      <c r="L38" s="12">
        <f t="shared" si="2"/>
        <v>50051.532223384995</v>
      </c>
      <c r="M38" s="13">
        <f t="shared" si="3"/>
        <v>2.1863651692176477E-3</v>
      </c>
    </row>
    <row r="39" spans="2:13" ht="20" customHeight="1" outlineLevel="1" x14ac:dyDescent="0.35">
      <c r="B39" s="10" t="s">
        <v>106</v>
      </c>
      <c r="C39" s="11" t="s">
        <v>107</v>
      </c>
      <c r="D39" s="11" t="s">
        <v>108</v>
      </c>
      <c r="E39" s="10" t="s">
        <v>19</v>
      </c>
      <c r="F39" s="12">
        <f t="shared" si="5"/>
        <v>12388747864.999218</v>
      </c>
      <c r="G39" s="12">
        <f t="shared" si="0"/>
        <v>273049.21146039269</v>
      </c>
      <c r="H39" s="12">
        <f t="shared" si="6"/>
        <v>22489405358.864452</v>
      </c>
      <c r="I39" s="12">
        <f t="shared" si="1"/>
        <v>301852.57499355008</v>
      </c>
      <c r="J39" s="12">
        <f t="shared" si="7"/>
        <v>766077448.13632762</v>
      </c>
      <c r="K39" s="12">
        <f>35644230672*($K$8/2376292044799)</f>
        <v>35644230672</v>
      </c>
      <c r="L39" s="12">
        <f t="shared" si="2"/>
        <v>297341.39334289596</v>
      </c>
      <c r="M39" s="13">
        <f t="shared" si="3"/>
        <v>1.2988550737470026E-2</v>
      </c>
    </row>
    <row r="40" spans="2:13" ht="24" customHeight="1" x14ac:dyDescent="0.35">
      <c r="B40" s="6" t="s">
        <v>109</v>
      </c>
      <c r="C40" s="7" t="s">
        <v>110</v>
      </c>
      <c r="D40" s="7" t="s">
        <v>111</v>
      </c>
      <c r="E40" s="6" t="s">
        <v>19</v>
      </c>
      <c r="F40" s="8">
        <f>SUM(F41:F42)</f>
        <v>86710967888.046005</v>
      </c>
      <c r="G40" s="8">
        <f t="shared" si="0"/>
        <v>1911118.1908616468</v>
      </c>
      <c r="H40" s="8">
        <f>SUM(H41:H42)</f>
        <v>157407199431.60037</v>
      </c>
      <c r="I40" s="8">
        <f t="shared" si="1"/>
        <v>2112717.8648244585</v>
      </c>
      <c r="J40" s="8">
        <f>SUM(J41:J42)</f>
        <v>5361907250.7542334</v>
      </c>
      <c r="K40" s="8">
        <f>SUM(K41:K42)</f>
        <v>249480074570.40063</v>
      </c>
      <c r="L40" s="8">
        <f t="shared" si="2"/>
        <v>2081143.3319088165</v>
      </c>
      <c r="M40" s="9">
        <f t="shared" si="3"/>
        <v>9.0909090909090898E-2</v>
      </c>
    </row>
    <row r="41" spans="2:13" ht="20" customHeight="1" outlineLevel="1" x14ac:dyDescent="0.35">
      <c r="B41" s="10" t="s">
        <v>112</v>
      </c>
      <c r="C41" s="11" t="s">
        <v>113</v>
      </c>
      <c r="D41" s="11" t="s">
        <v>114</v>
      </c>
      <c r="E41" s="10" t="s">
        <v>19</v>
      </c>
      <c r="F41" s="12">
        <f>K41*($F$8/$K$8)</f>
        <v>86710967888.046005</v>
      </c>
      <c r="G41" s="12">
        <f t="shared" si="0"/>
        <v>1911118.1908616468</v>
      </c>
      <c r="H41" s="12">
        <f>K41*($H$8/$K$8)</f>
        <v>157407199431.60037</v>
      </c>
      <c r="I41" s="12">
        <f t="shared" si="1"/>
        <v>2112717.8648244585</v>
      </c>
      <c r="J41" s="12">
        <f>K41*($J$8/$K$8)</f>
        <v>5361907250.7542334</v>
      </c>
      <c r="K41" s="12">
        <f>'3.CSDL Don Gia &amp; Delta Options'!$D$23*(K8+K16+K17+K30)</f>
        <v>249480074570.40063</v>
      </c>
      <c r="L41" s="12">
        <f t="shared" si="2"/>
        <v>2081143.3319088165</v>
      </c>
      <c r="M41" s="13">
        <f t="shared" si="3"/>
        <v>9.0909090909090898E-2</v>
      </c>
    </row>
    <row r="42" spans="2:13" ht="20" customHeight="1" outlineLevel="1" x14ac:dyDescent="0.35">
      <c r="B42" s="10" t="s">
        <v>115</v>
      </c>
      <c r="C42" s="11" t="s">
        <v>116</v>
      </c>
      <c r="D42" s="11" t="s">
        <v>117</v>
      </c>
      <c r="E42" s="10" t="s">
        <v>19</v>
      </c>
      <c r="F42" s="12">
        <f>K42*($F$8/$K$8)</f>
        <v>0</v>
      </c>
      <c r="G42" s="12">
        <f t="shared" si="0"/>
        <v>0</v>
      </c>
      <c r="H42" s="12">
        <f>K42*($H$8/$K$8)</f>
        <v>0</v>
      </c>
      <c r="I42" s="12">
        <f t="shared" si="1"/>
        <v>0</v>
      </c>
      <c r="J42" s="12">
        <f>K42*($J$8/$K$8)</f>
        <v>0</v>
      </c>
      <c r="K42" s="12">
        <v>0</v>
      </c>
      <c r="L42" s="12">
        <f t="shared" si="2"/>
        <v>0</v>
      </c>
      <c r="M42" s="13">
        <f t="shared" si="3"/>
        <v>0</v>
      </c>
    </row>
    <row r="43" spans="2:13" ht="24" customHeight="1" x14ac:dyDescent="0.35">
      <c r="B43" s="6" t="s">
        <v>118</v>
      </c>
      <c r="C43" s="7" t="s">
        <v>119</v>
      </c>
      <c r="D43" s="7" t="s">
        <v>120</v>
      </c>
      <c r="E43" s="6" t="s">
        <v>19</v>
      </c>
      <c r="F43" s="8">
        <f>K43*($F$8/$K$8)</f>
        <v>0</v>
      </c>
      <c r="G43" s="8">
        <f t="shared" si="0"/>
        <v>0</v>
      </c>
      <c r="H43" s="8">
        <f>K43*($H$8/$K$8)</f>
        <v>0</v>
      </c>
      <c r="I43" s="8">
        <f t="shared" si="1"/>
        <v>0</v>
      </c>
      <c r="J43" s="8">
        <f>K43*($J$8/$K$8)</f>
        <v>0</v>
      </c>
      <c r="K43" s="8">
        <f>'3.CSDL Don Gia &amp; Delta Options'!$D$24*(K8+K16+K17+K30+K40)</f>
        <v>0</v>
      </c>
      <c r="L43" s="8">
        <f t="shared" si="2"/>
        <v>0</v>
      </c>
      <c r="M43" s="9">
        <f t="shared" si="3"/>
        <v>0</v>
      </c>
    </row>
    <row r="44" spans="2:13" ht="6" customHeight="1" x14ac:dyDescent="0.35"/>
    <row r="47" spans="2:13" ht="24" customHeight="1" x14ac:dyDescent="0.35">
      <c r="B47" s="14" t="s">
        <v>121</v>
      </c>
      <c r="C47" s="15" t="s">
        <v>122</v>
      </c>
      <c r="D47" s="15" t="s">
        <v>123</v>
      </c>
      <c r="E47" s="14" t="s">
        <v>19</v>
      </c>
      <c r="F47" s="16">
        <f>F8+F16+F17+F30+F40+F43</f>
        <v>953820646768.50623</v>
      </c>
      <c r="G47" s="16">
        <f>F47/45371.85</f>
        <v>21022300.099478118</v>
      </c>
      <c r="H47" s="16">
        <f>H8+H16+H17+H30+H40+H43</f>
        <v>1731479193747.6042</v>
      </c>
      <c r="I47" s="16">
        <f>H47/74504.6</f>
        <v>23239896.513069049</v>
      </c>
      <c r="J47" s="16">
        <f>J8+J16+J17+J30+J40+J43</f>
        <v>58980979758.29657</v>
      </c>
      <c r="K47" s="16">
        <f>K8+K16+K17+K30+K40+K43</f>
        <v>2744280820274.4072</v>
      </c>
      <c r="L47" s="16">
        <f>K47/119876.45</f>
        <v>22892576.650996983</v>
      </c>
      <c r="M47" s="17">
        <f>1</f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67"/>
  <sheetViews>
    <sheetView workbookViewId="0"/>
  </sheetViews>
  <sheetFormatPr defaultRowHeight="14.5" x14ac:dyDescent="0.35"/>
  <cols>
    <col min="2" max="2" width="86" customWidth="1"/>
    <col min="3" max="3" width="52" customWidth="1"/>
    <col min="4" max="5" width="18" customWidth="1"/>
    <col min="6" max="6" width="57" customWidth="1"/>
    <col min="7" max="7" width="65" customWidth="1"/>
  </cols>
  <sheetData>
    <row r="2" spans="2:6" x14ac:dyDescent="0.35">
      <c r="B2" s="1" t="s">
        <v>124</v>
      </c>
    </row>
    <row r="3" spans="2:6" ht="18.5" x14ac:dyDescent="0.45">
      <c r="B3" s="2" t="s">
        <v>125</v>
      </c>
    </row>
    <row r="4" spans="2:6" x14ac:dyDescent="0.35">
      <c r="B4" s="4" t="s">
        <v>126</v>
      </c>
    </row>
    <row r="6" spans="2:6" x14ac:dyDescent="0.35">
      <c r="B6" s="3" t="s">
        <v>127</v>
      </c>
    </row>
    <row r="7" spans="2:6" ht="24" customHeight="1" x14ac:dyDescent="0.35">
      <c r="B7" s="5" t="s">
        <v>128</v>
      </c>
      <c r="C7" s="5" t="s">
        <v>129</v>
      </c>
      <c r="D7" s="5" t="s">
        <v>130</v>
      </c>
      <c r="E7" s="5" t="s">
        <v>131</v>
      </c>
      <c r="F7" s="5" t="s">
        <v>132</v>
      </c>
    </row>
    <row r="8" spans="2:6" ht="20" customHeight="1" x14ac:dyDescent="0.35">
      <c r="B8" s="10">
        <v>1</v>
      </c>
      <c r="C8" s="11" t="s">
        <v>133</v>
      </c>
      <c r="D8" s="18">
        <v>0.87942299999999995</v>
      </c>
      <c r="E8" s="10" t="s">
        <v>134</v>
      </c>
      <c r="F8" s="11" t="s">
        <v>135</v>
      </c>
    </row>
    <row r="9" spans="2:6" ht="20" customHeight="1" x14ac:dyDescent="0.35">
      <c r="B9" s="10">
        <v>2</v>
      </c>
      <c r="C9" s="11" t="s">
        <v>136</v>
      </c>
      <c r="D9" s="18">
        <v>0.120577</v>
      </c>
      <c r="E9" s="10" t="s">
        <v>134</v>
      </c>
      <c r="F9" s="11" t="s">
        <v>137</v>
      </c>
    </row>
    <row r="10" spans="2:6" ht="20" customHeight="1" x14ac:dyDescent="0.35">
      <c r="B10" s="10">
        <v>3</v>
      </c>
      <c r="C10" s="11" t="s">
        <v>138</v>
      </c>
      <c r="D10" s="18">
        <v>9.4199999999999996E-3</v>
      </c>
      <c r="E10" s="10" t="s">
        <v>139</v>
      </c>
      <c r="F10" s="11" t="s">
        <v>140</v>
      </c>
    </row>
    <row r="11" spans="2:6" ht="20" customHeight="1" x14ac:dyDescent="0.35">
      <c r="B11" s="10">
        <v>4</v>
      </c>
      <c r="C11" s="11" t="s">
        <v>141</v>
      </c>
      <c r="D11" s="18">
        <v>4.4000000000000002E-4</v>
      </c>
      <c r="E11" s="10" t="s">
        <v>142</v>
      </c>
      <c r="F11" s="11" t="s">
        <v>143</v>
      </c>
    </row>
    <row r="12" spans="2:6" ht="20" customHeight="1" x14ac:dyDescent="0.35">
      <c r="B12" s="10">
        <v>5</v>
      </c>
      <c r="C12" s="11" t="s">
        <v>144</v>
      </c>
      <c r="D12" s="18">
        <v>7.0099999999999997E-3</v>
      </c>
      <c r="E12" s="10" t="s">
        <v>142</v>
      </c>
      <c r="F12" s="11" t="s">
        <v>143</v>
      </c>
    </row>
    <row r="13" spans="2:6" ht="20" customHeight="1" x14ac:dyDescent="0.35">
      <c r="B13" s="10">
        <v>6</v>
      </c>
      <c r="C13" s="11" t="s">
        <v>145</v>
      </c>
      <c r="D13" s="18">
        <v>2.9499999999999999E-3</v>
      </c>
      <c r="E13" s="10" t="s">
        <v>146</v>
      </c>
      <c r="F13" s="11" t="s">
        <v>143</v>
      </c>
    </row>
    <row r="14" spans="2:6" ht="20" customHeight="1" x14ac:dyDescent="0.35">
      <c r="B14" s="10">
        <v>7</v>
      </c>
      <c r="C14" s="11" t="s">
        <v>147</v>
      </c>
      <c r="D14" s="18">
        <v>5.0000000000000001E-3</v>
      </c>
      <c r="E14" s="10" t="s">
        <v>139</v>
      </c>
      <c r="F14" s="11" t="s">
        <v>148</v>
      </c>
    </row>
    <row r="15" spans="2:6" ht="20" customHeight="1" x14ac:dyDescent="0.35">
      <c r="B15" s="10">
        <v>8</v>
      </c>
      <c r="C15" s="11" t="s">
        <v>149</v>
      </c>
      <c r="D15" s="18">
        <v>1E-3</v>
      </c>
      <c r="E15" s="10" t="s">
        <v>142</v>
      </c>
      <c r="F15" s="11" t="s">
        <v>150</v>
      </c>
    </row>
    <row r="16" spans="2:6" ht="20" customHeight="1" x14ac:dyDescent="0.35">
      <c r="B16" s="10">
        <v>9</v>
      </c>
      <c r="C16" s="11" t="s">
        <v>86</v>
      </c>
      <c r="D16" s="18">
        <v>7.9999999999999996E-6</v>
      </c>
      <c r="E16" s="10" t="s">
        <v>151</v>
      </c>
      <c r="F16" s="11" t="s">
        <v>152</v>
      </c>
    </row>
    <row r="17" spans="2:7" ht="20" customHeight="1" x14ac:dyDescent="0.35">
      <c r="B17" s="10">
        <v>10</v>
      </c>
      <c r="C17" s="11" t="s">
        <v>153</v>
      </c>
      <c r="D17" s="18">
        <v>2.0000000000000002E-5</v>
      </c>
      <c r="E17" s="10" t="s">
        <v>151</v>
      </c>
      <c r="F17" s="11" t="s">
        <v>154</v>
      </c>
    </row>
    <row r="18" spans="2:7" ht="20" customHeight="1" x14ac:dyDescent="0.35">
      <c r="B18" s="10">
        <v>11</v>
      </c>
      <c r="C18" s="11" t="s">
        <v>92</v>
      </c>
      <c r="D18" s="18">
        <v>2.9999999999999997E-4</v>
      </c>
      <c r="E18" s="10" t="s">
        <v>142</v>
      </c>
      <c r="F18" s="11" t="s">
        <v>155</v>
      </c>
    </row>
    <row r="19" spans="2:7" ht="20" customHeight="1" x14ac:dyDescent="0.35">
      <c r="B19" s="10">
        <v>12</v>
      </c>
      <c r="C19" s="11" t="s">
        <v>156</v>
      </c>
      <c r="D19" s="18">
        <v>2.9E-4</v>
      </c>
      <c r="E19" s="10" t="s">
        <v>142</v>
      </c>
      <c r="F19" s="11" t="s">
        <v>155</v>
      </c>
    </row>
    <row r="20" spans="2:7" ht="20" customHeight="1" x14ac:dyDescent="0.35">
      <c r="B20" s="10">
        <v>13</v>
      </c>
      <c r="C20" s="11" t="s">
        <v>98</v>
      </c>
      <c r="D20" s="18">
        <v>1.17E-3</v>
      </c>
      <c r="E20" s="10" t="s">
        <v>151</v>
      </c>
      <c r="F20" s="11" t="s">
        <v>157</v>
      </c>
    </row>
    <row r="21" spans="2:7" ht="20" customHeight="1" x14ac:dyDescent="0.35">
      <c r="B21" s="10">
        <v>14</v>
      </c>
      <c r="C21" s="11" t="s">
        <v>101</v>
      </c>
      <c r="D21" s="18">
        <v>4.0999999999999999E-4</v>
      </c>
      <c r="E21" s="10" t="s">
        <v>151</v>
      </c>
      <c r="F21" s="11" t="s">
        <v>158</v>
      </c>
    </row>
    <row r="22" spans="2:7" ht="20" customHeight="1" x14ac:dyDescent="0.35">
      <c r="B22" s="10">
        <v>15</v>
      </c>
      <c r="C22" s="11" t="s">
        <v>159</v>
      </c>
      <c r="D22" s="18">
        <v>1.4999999999999999E-2</v>
      </c>
      <c r="E22" s="10" t="s">
        <v>139</v>
      </c>
      <c r="F22" s="11" t="s">
        <v>160</v>
      </c>
    </row>
    <row r="23" spans="2:7" ht="20" customHeight="1" x14ac:dyDescent="0.35">
      <c r="B23" s="10">
        <v>16</v>
      </c>
      <c r="C23" s="11" t="s">
        <v>161</v>
      </c>
      <c r="D23" s="18">
        <v>0.1</v>
      </c>
      <c r="E23" s="10" t="s">
        <v>162</v>
      </c>
      <c r="F23" s="11" t="s">
        <v>163</v>
      </c>
    </row>
    <row r="24" spans="2:7" ht="20" customHeight="1" x14ac:dyDescent="0.35">
      <c r="B24" s="10">
        <v>17</v>
      </c>
      <c r="C24" s="11" t="s">
        <v>164</v>
      </c>
      <c r="D24" s="18">
        <v>0</v>
      </c>
      <c r="E24" s="10" t="s">
        <v>165</v>
      </c>
      <c r="F24" s="11" t="s">
        <v>166</v>
      </c>
    </row>
    <row r="26" spans="2:7" x14ac:dyDescent="0.35">
      <c r="B26" s="3" t="s">
        <v>167</v>
      </c>
    </row>
    <row r="27" spans="2:7" ht="25" customHeight="1" x14ac:dyDescent="0.35">
      <c r="B27" s="5" t="s">
        <v>168</v>
      </c>
      <c r="C27" s="5" t="s">
        <v>169</v>
      </c>
      <c r="D27" s="5" t="s">
        <v>170</v>
      </c>
      <c r="E27" s="5" t="s">
        <v>171</v>
      </c>
      <c r="F27" s="5" t="s">
        <v>172</v>
      </c>
      <c r="G27" s="5" t="s">
        <v>173</v>
      </c>
    </row>
    <row r="28" spans="2:7" ht="20" customHeight="1" x14ac:dyDescent="0.35">
      <c r="B28" s="10" t="s">
        <v>174</v>
      </c>
      <c r="C28" s="11" t="s">
        <v>175</v>
      </c>
      <c r="D28" s="12">
        <v>0</v>
      </c>
      <c r="E28" s="12">
        <v>0</v>
      </c>
      <c r="F28" s="11" t="s">
        <v>176</v>
      </c>
      <c r="G28" s="11" t="s">
        <v>177</v>
      </c>
    </row>
    <row r="29" spans="2:7" ht="20" customHeight="1" x14ac:dyDescent="0.35">
      <c r="B29" s="10" t="s">
        <v>178</v>
      </c>
      <c r="C29" s="11" t="s">
        <v>179</v>
      </c>
      <c r="D29" s="12">
        <v>-11500000000</v>
      </c>
      <c r="E29" s="12">
        <v>0</v>
      </c>
      <c r="F29" s="11" t="s">
        <v>176</v>
      </c>
      <c r="G29" s="11" t="s">
        <v>180</v>
      </c>
    </row>
    <row r="30" spans="2:7" ht="20" customHeight="1" x14ac:dyDescent="0.35">
      <c r="B30" s="10" t="s">
        <v>181</v>
      </c>
      <c r="C30" s="11" t="s">
        <v>182</v>
      </c>
      <c r="D30" s="12">
        <v>-16400000000</v>
      </c>
      <c r="E30" s="12">
        <v>0</v>
      </c>
      <c r="F30" s="11" t="s">
        <v>176</v>
      </c>
      <c r="G30" s="11" t="s">
        <v>183</v>
      </c>
    </row>
    <row r="31" spans="2:7" ht="20" customHeight="1" x14ac:dyDescent="0.35">
      <c r="B31" s="10" t="s">
        <v>184</v>
      </c>
      <c r="C31" s="11" t="s">
        <v>185</v>
      </c>
      <c r="D31" s="12">
        <v>0</v>
      </c>
      <c r="E31" s="12">
        <v>0</v>
      </c>
      <c r="F31" s="11" t="s">
        <v>186</v>
      </c>
      <c r="G31" s="11" t="s">
        <v>187</v>
      </c>
    </row>
    <row r="32" spans="2:7" ht="20" customHeight="1" x14ac:dyDescent="0.35">
      <c r="B32" s="10" t="s">
        <v>188</v>
      </c>
      <c r="C32" s="11" t="s">
        <v>189</v>
      </c>
      <c r="D32" s="12">
        <v>0</v>
      </c>
      <c r="E32" s="12">
        <v>-18900000000</v>
      </c>
      <c r="F32" s="11" t="s">
        <v>186</v>
      </c>
      <c r="G32" s="11" t="s">
        <v>190</v>
      </c>
    </row>
    <row r="33" spans="2:7" ht="20" customHeight="1" x14ac:dyDescent="0.35">
      <c r="B33" s="10" t="s">
        <v>191</v>
      </c>
      <c r="C33" s="11" t="s">
        <v>192</v>
      </c>
      <c r="D33" s="12">
        <v>0</v>
      </c>
      <c r="E33" s="12">
        <v>-27000000000</v>
      </c>
      <c r="F33" s="11" t="s">
        <v>186</v>
      </c>
      <c r="G33" s="11" t="s">
        <v>183</v>
      </c>
    </row>
    <row r="34" spans="2:7" ht="20" customHeight="1" x14ac:dyDescent="0.35">
      <c r="B34" s="10" t="s">
        <v>193</v>
      </c>
      <c r="C34" s="11" t="s">
        <v>194</v>
      </c>
      <c r="D34" s="12">
        <v>0</v>
      </c>
      <c r="E34" s="12">
        <v>0</v>
      </c>
      <c r="F34" s="11" t="s">
        <v>195</v>
      </c>
      <c r="G34" s="11" t="s">
        <v>196</v>
      </c>
    </row>
    <row r="35" spans="2:7" ht="20" customHeight="1" x14ac:dyDescent="0.35">
      <c r="B35" s="10" t="s">
        <v>197</v>
      </c>
      <c r="C35" s="11" t="s">
        <v>198</v>
      </c>
      <c r="D35" s="12">
        <v>-3500000000</v>
      </c>
      <c r="E35" s="12">
        <v>0</v>
      </c>
      <c r="F35" s="11" t="s">
        <v>195</v>
      </c>
      <c r="G35" s="11" t="s">
        <v>199</v>
      </c>
    </row>
    <row r="36" spans="2:7" ht="20" customHeight="1" x14ac:dyDescent="0.35">
      <c r="B36" s="10" t="s">
        <v>200</v>
      </c>
      <c r="C36" s="11" t="s">
        <v>201</v>
      </c>
      <c r="D36" s="12">
        <v>5250000000</v>
      </c>
      <c r="E36" s="12">
        <v>0</v>
      </c>
      <c r="F36" s="11" t="s">
        <v>195</v>
      </c>
      <c r="G36" s="11" t="s">
        <v>202</v>
      </c>
    </row>
    <row r="37" spans="2:7" ht="20" customHeight="1" x14ac:dyDescent="0.35">
      <c r="B37" s="10" t="s">
        <v>203</v>
      </c>
      <c r="C37" s="11" t="s">
        <v>204</v>
      </c>
      <c r="D37" s="12">
        <v>0</v>
      </c>
      <c r="E37" s="12">
        <v>0</v>
      </c>
      <c r="F37" s="11" t="s">
        <v>205</v>
      </c>
      <c r="G37" s="11" t="s">
        <v>206</v>
      </c>
    </row>
    <row r="38" spans="2:7" ht="20" customHeight="1" x14ac:dyDescent="0.35">
      <c r="B38" s="10" t="s">
        <v>207</v>
      </c>
      <c r="C38" s="11" t="s">
        <v>208</v>
      </c>
      <c r="D38" s="12">
        <v>0</v>
      </c>
      <c r="E38" s="12">
        <v>20500000000</v>
      </c>
      <c r="F38" s="11" t="s">
        <v>205</v>
      </c>
      <c r="G38" s="11" t="s">
        <v>209</v>
      </c>
    </row>
    <row r="39" spans="2:7" ht="20" customHeight="1" x14ac:dyDescent="0.35">
      <c r="B39" s="10" t="s">
        <v>210</v>
      </c>
      <c r="C39" s="11" t="s">
        <v>211</v>
      </c>
      <c r="D39" s="12">
        <v>0</v>
      </c>
      <c r="E39" s="12">
        <v>-6250000000</v>
      </c>
      <c r="F39" s="11" t="s">
        <v>205</v>
      </c>
      <c r="G39" s="11" t="s">
        <v>212</v>
      </c>
    </row>
    <row r="40" spans="2:7" ht="20" customHeight="1" x14ac:dyDescent="0.35">
      <c r="B40" s="10" t="s">
        <v>213</v>
      </c>
      <c r="C40" s="11" t="s">
        <v>214</v>
      </c>
      <c r="D40" s="12">
        <v>0</v>
      </c>
      <c r="E40" s="12">
        <v>0</v>
      </c>
      <c r="F40" s="11" t="s">
        <v>215</v>
      </c>
      <c r="G40" s="11" t="s">
        <v>216</v>
      </c>
    </row>
    <row r="41" spans="2:7" ht="20" customHeight="1" x14ac:dyDescent="0.35">
      <c r="B41" s="10" t="s">
        <v>217</v>
      </c>
      <c r="C41" s="11" t="s">
        <v>218</v>
      </c>
      <c r="D41" s="12">
        <v>3352500000</v>
      </c>
      <c r="E41" s="12">
        <v>0</v>
      </c>
      <c r="F41" s="11" t="s">
        <v>215</v>
      </c>
      <c r="G41" s="11" t="s">
        <v>219</v>
      </c>
    </row>
    <row r="42" spans="2:7" ht="20" customHeight="1" x14ac:dyDescent="0.35">
      <c r="B42" s="10" t="s">
        <v>220</v>
      </c>
      <c r="C42" s="11" t="s">
        <v>221</v>
      </c>
      <c r="D42" s="12">
        <v>-1117500000</v>
      </c>
      <c r="E42" s="12">
        <v>0</v>
      </c>
      <c r="F42" s="11" t="s">
        <v>215</v>
      </c>
      <c r="G42" s="11" t="s">
        <v>222</v>
      </c>
    </row>
    <row r="43" spans="2:7" ht="20" customHeight="1" x14ac:dyDescent="0.35">
      <c r="B43" s="10" t="s">
        <v>223</v>
      </c>
      <c r="C43" s="11" t="s">
        <v>224</v>
      </c>
      <c r="D43" s="12">
        <v>0</v>
      </c>
      <c r="E43" s="12">
        <v>0</v>
      </c>
      <c r="F43" s="11" t="s">
        <v>225</v>
      </c>
      <c r="G43" s="11" t="s">
        <v>226</v>
      </c>
    </row>
    <row r="44" spans="2:7" ht="20" customHeight="1" x14ac:dyDescent="0.35">
      <c r="B44" s="10" t="s">
        <v>227</v>
      </c>
      <c r="C44" s="11" t="s">
        <v>228</v>
      </c>
      <c r="D44" s="12">
        <v>0</v>
      </c>
      <c r="E44" s="12">
        <v>16821000000</v>
      </c>
      <c r="F44" s="11" t="s">
        <v>225</v>
      </c>
      <c r="G44" s="11" t="s">
        <v>229</v>
      </c>
    </row>
    <row r="45" spans="2:7" ht="20" customHeight="1" x14ac:dyDescent="0.35">
      <c r="B45" s="10" t="s">
        <v>230</v>
      </c>
      <c r="C45" s="11" t="s">
        <v>231</v>
      </c>
      <c r="D45" s="12">
        <v>0</v>
      </c>
      <c r="E45" s="12">
        <v>-8223600000</v>
      </c>
      <c r="F45" s="11" t="s">
        <v>225</v>
      </c>
      <c r="G45" s="11" t="s">
        <v>232</v>
      </c>
    </row>
    <row r="46" spans="2:7" ht="20" customHeight="1" x14ac:dyDescent="0.35">
      <c r="B46" s="10" t="s">
        <v>233</v>
      </c>
      <c r="C46" s="11" t="s">
        <v>234</v>
      </c>
      <c r="D46" s="12">
        <v>0</v>
      </c>
      <c r="E46" s="12">
        <v>0</v>
      </c>
      <c r="F46" s="11" t="s">
        <v>235</v>
      </c>
      <c r="G46" s="11" t="s">
        <v>236</v>
      </c>
    </row>
    <row r="47" spans="2:7" ht="20" customHeight="1" x14ac:dyDescent="0.35">
      <c r="B47" s="10" t="s">
        <v>237</v>
      </c>
      <c r="C47" s="11" t="s">
        <v>238</v>
      </c>
      <c r="D47" s="12">
        <v>9065000000</v>
      </c>
      <c r="E47" s="12">
        <v>0</v>
      </c>
      <c r="F47" s="11" t="s">
        <v>235</v>
      </c>
      <c r="G47" s="11" t="s">
        <v>239</v>
      </c>
    </row>
    <row r="48" spans="2:7" ht="20" customHeight="1" x14ac:dyDescent="0.35">
      <c r="B48" s="10" t="s">
        <v>240</v>
      </c>
      <c r="C48" s="11" t="s">
        <v>241</v>
      </c>
      <c r="D48" s="12">
        <v>17150000000</v>
      </c>
      <c r="E48" s="12">
        <v>0</v>
      </c>
      <c r="F48" s="11" t="s">
        <v>235</v>
      </c>
      <c r="G48" s="11" t="s">
        <v>242</v>
      </c>
    </row>
    <row r="49" spans="2:7" ht="20" customHeight="1" x14ac:dyDescent="0.35">
      <c r="B49" s="10" t="s">
        <v>243</v>
      </c>
      <c r="C49" s="11" t="s">
        <v>244</v>
      </c>
      <c r="D49" s="12">
        <v>0</v>
      </c>
      <c r="E49" s="12">
        <v>0</v>
      </c>
      <c r="F49" s="11" t="s">
        <v>245</v>
      </c>
      <c r="G49" s="11" t="s">
        <v>246</v>
      </c>
    </row>
    <row r="50" spans="2:7" ht="20" customHeight="1" x14ac:dyDescent="0.35">
      <c r="B50" s="10" t="s">
        <v>247</v>
      </c>
      <c r="C50" s="11" t="s">
        <v>248</v>
      </c>
      <c r="D50" s="12">
        <v>0</v>
      </c>
      <c r="E50" s="12">
        <v>-8625000000</v>
      </c>
      <c r="F50" s="11" t="s">
        <v>245</v>
      </c>
      <c r="G50" s="11" t="s">
        <v>249</v>
      </c>
    </row>
    <row r="51" spans="2:7" ht="20" customHeight="1" x14ac:dyDescent="0.35">
      <c r="B51" s="10" t="s">
        <v>250</v>
      </c>
      <c r="C51" s="11" t="s">
        <v>251</v>
      </c>
      <c r="D51" s="12">
        <v>0</v>
      </c>
      <c r="E51" s="12">
        <v>-20125000000</v>
      </c>
      <c r="F51" s="11" t="s">
        <v>245</v>
      </c>
      <c r="G51" s="11" t="s">
        <v>252</v>
      </c>
    </row>
    <row r="52" spans="2:7" ht="20" customHeight="1" x14ac:dyDescent="0.35">
      <c r="B52" s="10" t="s">
        <v>253</v>
      </c>
      <c r="C52" s="11" t="s">
        <v>254</v>
      </c>
      <c r="D52" s="12">
        <v>0</v>
      </c>
      <c r="E52" s="12">
        <v>0</v>
      </c>
      <c r="F52" s="11" t="s">
        <v>255</v>
      </c>
      <c r="G52" s="11" t="s">
        <v>256</v>
      </c>
    </row>
    <row r="53" spans="2:7" ht="20" customHeight="1" x14ac:dyDescent="0.35">
      <c r="B53" s="10" t="s">
        <v>257</v>
      </c>
      <c r="C53" s="11" t="s">
        <v>258</v>
      </c>
      <c r="D53" s="12">
        <v>3430000000</v>
      </c>
      <c r="E53" s="12">
        <v>0</v>
      </c>
      <c r="F53" s="11" t="s">
        <v>255</v>
      </c>
      <c r="G53" s="11" t="s">
        <v>259</v>
      </c>
    </row>
    <row r="54" spans="2:7" ht="20" customHeight="1" x14ac:dyDescent="0.35">
      <c r="B54" s="10" t="s">
        <v>260</v>
      </c>
      <c r="C54" s="11" t="s">
        <v>261</v>
      </c>
      <c r="D54" s="12">
        <v>8330000000</v>
      </c>
      <c r="E54" s="12">
        <v>0</v>
      </c>
      <c r="F54" s="11" t="s">
        <v>255</v>
      </c>
      <c r="G54" s="11" t="s">
        <v>262</v>
      </c>
    </row>
    <row r="55" spans="2:7" ht="20" customHeight="1" x14ac:dyDescent="0.35">
      <c r="B55" s="10" t="s">
        <v>263</v>
      </c>
      <c r="C55" s="11" t="s">
        <v>264</v>
      </c>
      <c r="D55" s="12">
        <v>0</v>
      </c>
      <c r="E55" s="12">
        <v>0</v>
      </c>
      <c r="F55" s="11" t="s">
        <v>265</v>
      </c>
      <c r="G55" s="11" t="s">
        <v>266</v>
      </c>
    </row>
    <row r="56" spans="2:7" ht="20" customHeight="1" x14ac:dyDescent="0.35">
      <c r="B56" s="10" t="s">
        <v>267</v>
      </c>
      <c r="C56" s="11" t="s">
        <v>268</v>
      </c>
      <c r="D56" s="12">
        <v>0</v>
      </c>
      <c r="E56" s="12">
        <v>13800000000</v>
      </c>
      <c r="F56" s="11" t="s">
        <v>265</v>
      </c>
      <c r="G56" s="11" t="s">
        <v>269</v>
      </c>
    </row>
    <row r="57" spans="2:7" ht="20" customHeight="1" x14ac:dyDescent="0.35">
      <c r="B57" s="10" t="s">
        <v>270</v>
      </c>
      <c r="C57" s="11" t="s">
        <v>271</v>
      </c>
      <c r="D57" s="12">
        <v>0</v>
      </c>
      <c r="E57" s="12">
        <v>-7475000000</v>
      </c>
      <c r="F57" s="11" t="s">
        <v>265</v>
      </c>
      <c r="G57" s="11" t="s">
        <v>272</v>
      </c>
    </row>
    <row r="58" spans="2:7" ht="20" customHeight="1" x14ac:dyDescent="0.35">
      <c r="B58" s="10" t="s">
        <v>273</v>
      </c>
      <c r="C58" s="11" t="s">
        <v>274</v>
      </c>
      <c r="D58" s="12">
        <v>0</v>
      </c>
      <c r="E58" s="12">
        <v>0</v>
      </c>
      <c r="F58" s="11" t="s">
        <v>275</v>
      </c>
      <c r="G58" s="11" t="s">
        <v>276</v>
      </c>
    </row>
    <row r="59" spans="2:7" ht="20" customHeight="1" x14ac:dyDescent="0.35">
      <c r="B59" s="10" t="s">
        <v>277</v>
      </c>
      <c r="C59" s="11" t="s">
        <v>278</v>
      </c>
      <c r="D59" s="12">
        <v>12250000000</v>
      </c>
      <c r="E59" s="12">
        <v>0</v>
      </c>
      <c r="F59" s="11" t="s">
        <v>275</v>
      </c>
      <c r="G59" s="11" t="s">
        <v>279</v>
      </c>
    </row>
    <row r="60" spans="2:7" ht="20" customHeight="1" x14ac:dyDescent="0.35">
      <c r="B60" s="10" t="s">
        <v>280</v>
      </c>
      <c r="C60" s="11" t="s">
        <v>281</v>
      </c>
      <c r="D60" s="12">
        <v>22050000000</v>
      </c>
      <c r="E60" s="12">
        <v>0</v>
      </c>
      <c r="F60" s="11" t="s">
        <v>275</v>
      </c>
      <c r="G60" s="11" t="s">
        <v>282</v>
      </c>
    </row>
    <row r="61" spans="2:7" ht="20" customHeight="1" x14ac:dyDescent="0.35">
      <c r="B61" s="10" t="s">
        <v>283</v>
      </c>
      <c r="C61" s="11" t="s">
        <v>284</v>
      </c>
      <c r="D61" s="12">
        <v>0</v>
      </c>
      <c r="E61" s="12">
        <v>0</v>
      </c>
      <c r="F61" s="11" t="s">
        <v>285</v>
      </c>
      <c r="G61" s="11" t="s">
        <v>286</v>
      </c>
    </row>
    <row r="62" spans="2:7" ht="20" customHeight="1" x14ac:dyDescent="0.35">
      <c r="B62" s="10" t="s">
        <v>287</v>
      </c>
      <c r="C62" s="11" t="s">
        <v>288</v>
      </c>
      <c r="D62" s="12">
        <v>0</v>
      </c>
      <c r="E62" s="12">
        <v>-10350000000</v>
      </c>
      <c r="F62" s="11" t="s">
        <v>285</v>
      </c>
      <c r="G62" s="11" t="s">
        <v>289</v>
      </c>
    </row>
    <row r="63" spans="2:7" ht="20" customHeight="1" x14ac:dyDescent="0.35">
      <c r="B63" s="10" t="s">
        <v>290</v>
      </c>
      <c r="C63" s="11" t="s">
        <v>291</v>
      </c>
      <c r="D63" s="12">
        <v>0</v>
      </c>
      <c r="E63" s="12">
        <v>-20125000000</v>
      </c>
      <c r="F63" s="11" t="s">
        <v>285</v>
      </c>
      <c r="G63" s="11" t="s">
        <v>292</v>
      </c>
    </row>
    <row r="64" spans="2:7" ht="20" customHeight="1" x14ac:dyDescent="0.35">
      <c r="B64" s="10" t="s">
        <v>293</v>
      </c>
      <c r="C64" s="11" t="s">
        <v>294</v>
      </c>
      <c r="D64" s="12">
        <v>0</v>
      </c>
      <c r="E64" s="12">
        <v>-31625000000</v>
      </c>
      <c r="F64" s="11" t="s">
        <v>285</v>
      </c>
      <c r="G64" s="11" t="s">
        <v>295</v>
      </c>
    </row>
    <row r="65" spans="2:7" ht="20" customHeight="1" x14ac:dyDescent="0.35">
      <c r="B65" s="10" t="s">
        <v>296</v>
      </c>
      <c r="C65" s="11" t="s">
        <v>297</v>
      </c>
      <c r="D65" s="12">
        <v>0</v>
      </c>
      <c r="E65" s="12">
        <v>0</v>
      </c>
      <c r="F65" s="11" t="s">
        <v>298</v>
      </c>
      <c r="G65" s="11" t="s">
        <v>299</v>
      </c>
    </row>
    <row r="66" spans="2:7" ht="20" customHeight="1" x14ac:dyDescent="0.35">
      <c r="B66" s="10" t="s">
        <v>300</v>
      </c>
      <c r="C66" s="11" t="s">
        <v>301</v>
      </c>
      <c r="D66" s="12">
        <v>-5100000000</v>
      </c>
      <c r="E66" s="12">
        <v>-6800000000</v>
      </c>
      <c r="F66" s="11" t="s">
        <v>298</v>
      </c>
      <c r="G66" s="11" t="s">
        <v>302</v>
      </c>
    </row>
    <row r="67" spans="2:7" ht="20" customHeight="1" x14ac:dyDescent="0.35">
      <c r="B67" s="10" t="s">
        <v>303</v>
      </c>
      <c r="C67" s="11" t="s">
        <v>304</v>
      </c>
      <c r="D67" s="12">
        <v>3600000000</v>
      </c>
      <c r="E67" s="12">
        <v>4800000000</v>
      </c>
      <c r="F67" s="11" t="s">
        <v>298</v>
      </c>
      <c r="G67" s="11" t="s">
        <v>305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B2:P28"/>
  <sheetViews>
    <sheetView workbookViewId="0"/>
  </sheetViews>
  <sheetFormatPr defaultRowHeight="14.5" outlineLevelRow="1" x14ac:dyDescent="0.35"/>
  <cols>
    <col min="2" max="2" width="12" customWidth="1"/>
    <col min="3" max="3" width="44" customWidth="1"/>
    <col min="4" max="4" width="12" customWidth="1"/>
    <col min="5" max="5" width="18" customWidth="1"/>
    <col min="6" max="6" width="38" customWidth="1"/>
    <col min="7" max="9" width="18" customWidth="1"/>
    <col min="10" max="10" width="38" customWidth="1"/>
    <col min="11" max="15" width="18" customWidth="1"/>
    <col min="16" max="16" width="44" customWidth="1"/>
  </cols>
  <sheetData>
    <row r="2" spans="2:16" x14ac:dyDescent="0.35">
      <c r="B2" s="1" t="s">
        <v>124</v>
      </c>
    </row>
    <row r="3" spans="2:16" ht="18.5" x14ac:dyDescent="0.45">
      <c r="B3" s="2" t="s">
        <v>306</v>
      </c>
    </row>
    <row r="4" spans="2:16" x14ac:dyDescent="0.35">
      <c r="B4" s="4" t="s">
        <v>307</v>
      </c>
    </row>
    <row r="7" spans="2:16" ht="24" customHeight="1" x14ac:dyDescent="0.35">
      <c r="B7" s="28" t="s">
        <v>308</v>
      </c>
      <c r="C7" s="29"/>
      <c r="D7" s="29"/>
      <c r="E7" s="32" t="s">
        <v>309</v>
      </c>
      <c r="F7" s="33"/>
      <c r="G7" s="33"/>
      <c r="H7" s="33"/>
      <c r="I7" s="34" t="s">
        <v>310</v>
      </c>
      <c r="J7" s="35"/>
      <c r="K7" s="35"/>
      <c r="L7" s="35"/>
      <c r="M7" s="5" t="s">
        <v>311</v>
      </c>
      <c r="N7" s="30" t="s">
        <v>312</v>
      </c>
      <c r="O7" s="31"/>
      <c r="P7" s="5" t="s">
        <v>313</v>
      </c>
    </row>
    <row r="8" spans="2:16" ht="26" customHeight="1" x14ac:dyDescent="0.35">
      <c r="B8" s="5" t="s">
        <v>4</v>
      </c>
      <c r="C8" s="5" t="s">
        <v>314</v>
      </c>
      <c r="D8" s="5" t="s">
        <v>7</v>
      </c>
      <c r="E8" s="5" t="s">
        <v>315</v>
      </c>
      <c r="F8" s="5" t="s">
        <v>316</v>
      </c>
      <c r="G8" s="5" t="s">
        <v>317</v>
      </c>
      <c r="H8" s="5" t="s">
        <v>318</v>
      </c>
      <c r="I8" s="5" t="s">
        <v>319</v>
      </c>
      <c r="J8" s="5" t="s">
        <v>320</v>
      </c>
      <c r="K8" s="5" t="s">
        <v>321</v>
      </c>
      <c r="L8" s="5" t="s">
        <v>322</v>
      </c>
      <c r="M8" s="5" t="s">
        <v>323</v>
      </c>
      <c r="N8" s="5" t="s">
        <v>324</v>
      </c>
      <c r="O8" s="5" t="s">
        <v>325</v>
      </c>
      <c r="P8" s="5" t="s">
        <v>326</v>
      </c>
    </row>
    <row r="9" spans="2:16" ht="24" customHeight="1" x14ac:dyDescent="0.35">
      <c r="B9" s="6" t="s">
        <v>16</v>
      </c>
      <c r="C9" s="7" t="s">
        <v>327</v>
      </c>
      <c r="D9" s="6"/>
      <c r="E9" s="8">
        <f>SUM(E10:E12)</f>
        <v>373100000000</v>
      </c>
      <c r="F9" s="6" t="s">
        <v>328</v>
      </c>
      <c r="G9" s="8">
        <f>SUM(G10:G12)</f>
        <v>0</v>
      </c>
      <c r="H9" s="8">
        <f>SUM(H10:H12)</f>
        <v>373100000000</v>
      </c>
      <c r="I9" s="8">
        <f>SUM(I10:I12)</f>
        <v>612020000000</v>
      </c>
      <c r="J9" s="6" t="s">
        <v>328</v>
      </c>
      <c r="K9" s="8">
        <f>SUM(K10:K12)</f>
        <v>0</v>
      </c>
      <c r="L9" s="8">
        <f>SUM(L10:L12)</f>
        <v>612020000000</v>
      </c>
      <c r="M9" s="8">
        <f>SUM(M10:M12)</f>
        <v>0</v>
      </c>
      <c r="N9" s="8">
        <f>SUM(N10:N12)</f>
        <v>985120000000</v>
      </c>
      <c r="O9" s="8">
        <f t="shared" ref="O9:O28" si="0">N9/119876.45</f>
        <v>8217794.2373168375</v>
      </c>
      <c r="P9" s="7" t="s">
        <v>329</v>
      </c>
    </row>
    <row r="10" spans="2:16" ht="21" customHeight="1" outlineLevel="1" x14ac:dyDescent="0.35">
      <c r="B10" s="10" t="s">
        <v>330</v>
      </c>
      <c r="C10" s="11" t="s">
        <v>331</v>
      </c>
      <c r="D10" s="10" t="s">
        <v>332</v>
      </c>
      <c r="E10" s="12">
        <v>116180000000</v>
      </c>
      <c r="F10" s="19" t="s">
        <v>328</v>
      </c>
      <c r="G10" s="12">
        <v>0</v>
      </c>
      <c r="H10" s="12">
        <f>E10+G10</f>
        <v>116180000000</v>
      </c>
      <c r="I10" s="12">
        <v>190580000000</v>
      </c>
      <c r="J10" s="19" t="s">
        <v>328</v>
      </c>
      <c r="K10" s="12">
        <v>0</v>
      </c>
      <c r="L10" s="12">
        <f>I10+K10</f>
        <v>190580000000</v>
      </c>
      <c r="M10" s="12">
        <v>0</v>
      </c>
      <c r="N10" s="12">
        <f>H10+L10+M10</f>
        <v>306760000000</v>
      </c>
      <c r="O10" s="12">
        <f t="shared" si="0"/>
        <v>2558968.0041409303</v>
      </c>
      <c r="P10" s="11" t="s">
        <v>333</v>
      </c>
    </row>
    <row r="11" spans="2:16" ht="21" customHeight="1" outlineLevel="1" x14ac:dyDescent="0.35">
      <c r="B11" s="10" t="s">
        <v>334</v>
      </c>
      <c r="C11" s="11" t="s">
        <v>335</v>
      </c>
      <c r="D11" s="10" t="s">
        <v>332</v>
      </c>
      <c r="E11" s="12">
        <v>94320000000</v>
      </c>
      <c r="F11" s="19" t="s">
        <v>328</v>
      </c>
      <c r="G11" s="12">
        <v>0</v>
      </c>
      <c r="H11" s="12">
        <f>E11+G11</f>
        <v>94320000000</v>
      </c>
      <c r="I11" s="12">
        <v>154720000000</v>
      </c>
      <c r="J11" s="19" t="s">
        <v>328</v>
      </c>
      <c r="K11" s="12">
        <v>0</v>
      </c>
      <c r="L11" s="12">
        <f>I11+K11</f>
        <v>154720000000</v>
      </c>
      <c r="M11" s="12">
        <v>0</v>
      </c>
      <c r="N11" s="12">
        <f>H11+L11+M11</f>
        <v>249040000000</v>
      </c>
      <c r="O11" s="12">
        <f t="shared" si="0"/>
        <v>2077472.2641519664</v>
      </c>
      <c r="P11" s="11" t="s">
        <v>336</v>
      </c>
    </row>
    <row r="12" spans="2:16" ht="21" customHeight="1" outlineLevel="1" x14ac:dyDescent="0.35">
      <c r="B12" s="10" t="s">
        <v>337</v>
      </c>
      <c r="C12" s="11" t="s">
        <v>338</v>
      </c>
      <c r="D12" s="10" t="s">
        <v>339</v>
      </c>
      <c r="E12" s="12">
        <v>162600000000</v>
      </c>
      <c r="F12" s="19" t="s">
        <v>328</v>
      </c>
      <c r="G12" s="12">
        <v>0</v>
      </c>
      <c r="H12" s="12">
        <f>E12+G12</f>
        <v>162600000000</v>
      </c>
      <c r="I12" s="12">
        <v>266720000000</v>
      </c>
      <c r="J12" s="19" t="s">
        <v>328</v>
      </c>
      <c r="K12" s="12">
        <v>0</v>
      </c>
      <c r="L12" s="12">
        <f>I12+K12</f>
        <v>266720000000</v>
      </c>
      <c r="M12" s="12">
        <v>0</v>
      </c>
      <c r="N12" s="12">
        <f>H12+L12+M12</f>
        <v>429320000000</v>
      </c>
      <c r="O12" s="12">
        <f t="shared" si="0"/>
        <v>3581353.9690239411</v>
      </c>
      <c r="P12" s="11" t="s">
        <v>340</v>
      </c>
    </row>
    <row r="13" spans="2:16" ht="24" customHeight="1" x14ac:dyDescent="0.35">
      <c r="B13" s="6" t="s">
        <v>41</v>
      </c>
      <c r="C13" s="7" t="s">
        <v>341</v>
      </c>
      <c r="D13" s="6"/>
      <c r="E13" s="8">
        <f>SUM(E14:E19)</f>
        <v>217450000000</v>
      </c>
      <c r="F13" s="6" t="s">
        <v>328</v>
      </c>
      <c r="G13" s="8">
        <f>SUM(G14:G19)</f>
        <v>0</v>
      </c>
      <c r="H13" s="8">
        <f>SUM(H14:H19)</f>
        <v>217450000000</v>
      </c>
      <c r="I13" s="8">
        <f>SUM(I14:I19)</f>
        <v>452560000000</v>
      </c>
      <c r="J13" s="6" t="s">
        <v>328</v>
      </c>
      <c r="K13" s="8">
        <f>SUM(K14:K19)</f>
        <v>0</v>
      </c>
      <c r="L13" s="8">
        <f>SUM(L14:L19)</f>
        <v>452560000000</v>
      </c>
      <c r="M13" s="8">
        <f>SUM(M14:M19)</f>
        <v>0</v>
      </c>
      <c r="N13" s="8">
        <f>SUM(N14:N19)</f>
        <v>670010000000</v>
      </c>
      <c r="O13" s="8">
        <f t="shared" si="0"/>
        <v>5589171.1841650298</v>
      </c>
      <c r="P13" s="7" t="s">
        <v>342</v>
      </c>
    </row>
    <row r="14" spans="2:16" ht="21" customHeight="1" outlineLevel="1" x14ac:dyDescent="0.35">
      <c r="B14" s="10" t="s">
        <v>343</v>
      </c>
      <c r="C14" s="11" t="s">
        <v>344</v>
      </c>
      <c r="D14" s="10" t="s">
        <v>345</v>
      </c>
      <c r="E14" s="12">
        <v>44000000000</v>
      </c>
      <c r="F14" s="19" t="s">
        <v>328</v>
      </c>
      <c r="G14" s="12">
        <v>0</v>
      </c>
      <c r="H14" s="12">
        <f t="shared" ref="H14:H19" si="1">E14+G14</f>
        <v>44000000000</v>
      </c>
      <c r="I14" s="12">
        <v>72000000000</v>
      </c>
      <c r="J14" s="19" t="s">
        <v>328</v>
      </c>
      <c r="K14" s="12">
        <v>0</v>
      </c>
      <c r="L14" s="12">
        <f t="shared" ref="L14:L19" si="2">I14+K14</f>
        <v>72000000000</v>
      </c>
      <c r="M14" s="12">
        <v>0</v>
      </c>
      <c r="N14" s="12">
        <f t="shared" ref="N14:N19" si="3">H14+L14+M14</f>
        <v>116000000000</v>
      </c>
      <c r="O14" s="12">
        <f t="shared" si="0"/>
        <v>967662.95631877659</v>
      </c>
      <c r="P14" s="11" t="s">
        <v>346</v>
      </c>
    </row>
    <row r="15" spans="2:16" ht="21" customHeight="1" outlineLevel="1" x14ac:dyDescent="0.35">
      <c r="B15" s="10" t="s">
        <v>347</v>
      </c>
      <c r="C15" s="11" t="s">
        <v>348</v>
      </c>
      <c r="D15" s="10" t="s">
        <v>345</v>
      </c>
      <c r="E15" s="12">
        <v>27340000000</v>
      </c>
      <c r="F15" s="20" t="s">
        <v>175</v>
      </c>
      <c r="G15" s="12">
        <f>IF(F15="-", 0, VLOOKUP(F15, '3.CSDL Don Gia &amp; Delta Options'!$C$28:$G$67, 2, FALSE))</f>
        <v>0</v>
      </c>
      <c r="H15" s="12">
        <f t="shared" si="1"/>
        <v>27340000000</v>
      </c>
      <c r="I15" s="12">
        <v>45030000000</v>
      </c>
      <c r="J15" s="20" t="s">
        <v>185</v>
      </c>
      <c r="K15" s="12">
        <f>IF(J15="-", 0, VLOOKUP(J15, '3.CSDL Don Gia &amp; Delta Options'!$C$28:$G$67, 3, FALSE))</f>
        <v>0</v>
      </c>
      <c r="L15" s="12">
        <f t="shared" si="2"/>
        <v>45030000000</v>
      </c>
      <c r="M15" s="12">
        <v>0</v>
      </c>
      <c r="N15" s="12">
        <f t="shared" si="3"/>
        <v>72370000000</v>
      </c>
      <c r="O15" s="12">
        <f t="shared" si="0"/>
        <v>603704.89783439529</v>
      </c>
      <c r="P15" s="11" t="s">
        <v>349</v>
      </c>
    </row>
    <row r="16" spans="2:16" ht="21" customHeight="1" outlineLevel="1" x14ac:dyDescent="0.35">
      <c r="B16" s="10" t="s">
        <v>350</v>
      </c>
      <c r="C16" s="11" t="s">
        <v>351</v>
      </c>
      <c r="D16" s="10" t="s">
        <v>352</v>
      </c>
      <c r="E16" s="12">
        <v>30750000000</v>
      </c>
      <c r="F16" s="19" t="s">
        <v>328</v>
      </c>
      <c r="G16" s="12">
        <v>0</v>
      </c>
      <c r="H16" s="12">
        <f t="shared" si="1"/>
        <v>30750000000</v>
      </c>
      <c r="I16" s="12">
        <v>70600000000</v>
      </c>
      <c r="J16" s="19" t="s">
        <v>328</v>
      </c>
      <c r="K16" s="12">
        <v>0</v>
      </c>
      <c r="L16" s="12">
        <f t="shared" si="2"/>
        <v>70600000000</v>
      </c>
      <c r="M16" s="12">
        <v>0</v>
      </c>
      <c r="N16" s="12">
        <f t="shared" si="3"/>
        <v>101350000000</v>
      </c>
      <c r="O16" s="12">
        <f t="shared" si="0"/>
        <v>845453.79847334488</v>
      </c>
      <c r="P16" s="11" t="s">
        <v>353</v>
      </c>
    </row>
    <row r="17" spans="2:16" ht="21" customHeight="1" outlineLevel="1" x14ac:dyDescent="0.35">
      <c r="B17" s="10" t="s">
        <v>354</v>
      </c>
      <c r="C17" s="11" t="s">
        <v>355</v>
      </c>
      <c r="D17" s="10" t="s">
        <v>352</v>
      </c>
      <c r="E17" s="12">
        <v>37760000000</v>
      </c>
      <c r="F17" s="20" t="s">
        <v>194</v>
      </c>
      <c r="G17" s="12">
        <f>IF(F17="-", 0, VLOOKUP(F17, '3.CSDL Don Gia &amp; Delta Options'!$C$28:$G$67, 2, FALSE))</f>
        <v>0</v>
      </c>
      <c r="H17" s="12">
        <f t="shared" si="1"/>
        <v>37760000000</v>
      </c>
      <c r="I17" s="12">
        <v>86700000000</v>
      </c>
      <c r="J17" s="20" t="s">
        <v>204</v>
      </c>
      <c r="K17" s="12">
        <f>IF(J17="-", 0, VLOOKUP(J17, '3.CSDL Don Gia &amp; Delta Options'!$C$28:$G$67, 3, FALSE))</f>
        <v>0</v>
      </c>
      <c r="L17" s="12">
        <f t="shared" si="2"/>
        <v>86700000000</v>
      </c>
      <c r="M17" s="12">
        <v>0</v>
      </c>
      <c r="N17" s="12">
        <f t="shared" si="3"/>
        <v>124460000000</v>
      </c>
      <c r="O17" s="12">
        <f t="shared" si="0"/>
        <v>1038235.6167537494</v>
      </c>
      <c r="P17" s="11" t="s">
        <v>356</v>
      </c>
    </row>
    <row r="18" spans="2:16" ht="21" customHeight="1" outlineLevel="1" x14ac:dyDescent="0.35">
      <c r="B18" s="10" t="s">
        <v>357</v>
      </c>
      <c r="C18" s="11" t="s">
        <v>358</v>
      </c>
      <c r="D18" s="10" t="s">
        <v>352</v>
      </c>
      <c r="E18" s="12">
        <v>46900000000</v>
      </c>
      <c r="F18" s="20" t="s">
        <v>214</v>
      </c>
      <c r="G18" s="12">
        <f>IF(F18="-", 0, VLOOKUP(F18, '3.CSDL Don Gia &amp; Delta Options'!$C$28:$G$67, 2, FALSE))</f>
        <v>0</v>
      </c>
      <c r="H18" s="12">
        <f t="shared" si="1"/>
        <v>46900000000</v>
      </c>
      <c r="I18" s="12">
        <v>107800000000</v>
      </c>
      <c r="J18" s="20" t="s">
        <v>224</v>
      </c>
      <c r="K18" s="12">
        <f>IF(J18="-", 0, VLOOKUP(J18, '3.CSDL Don Gia &amp; Delta Options'!$C$28:$G$67, 3, FALSE))</f>
        <v>0</v>
      </c>
      <c r="L18" s="12">
        <f t="shared" si="2"/>
        <v>107800000000</v>
      </c>
      <c r="M18" s="12">
        <v>0</v>
      </c>
      <c r="N18" s="12">
        <f t="shared" si="3"/>
        <v>154700000000</v>
      </c>
      <c r="O18" s="12">
        <f t="shared" si="0"/>
        <v>1290495.3391596097</v>
      </c>
      <c r="P18" s="11" t="s">
        <v>359</v>
      </c>
    </row>
    <row r="19" spans="2:16" ht="21" customHeight="1" outlineLevel="1" x14ac:dyDescent="0.35">
      <c r="B19" s="10" t="s">
        <v>360</v>
      </c>
      <c r="C19" s="11" t="s">
        <v>361</v>
      </c>
      <c r="D19" s="10" t="s">
        <v>352</v>
      </c>
      <c r="E19" s="12">
        <v>30700000000</v>
      </c>
      <c r="F19" s="20" t="s">
        <v>234</v>
      </c>
      <c r="G19" s="12">
        <f>IF(F19="-", 0, VLOOKUP(F19, '3.CSDL Don Gia &amp; Delta Options'!$C$28:$G$67, 2, FALSE))</f>
        <v>0</v>
      </c>
      <c r="H19" s="12">
        <f t="shared" si="1"/>
        <v>30700000000</v>
      </c>
      <c r="I19" s="12">
        <v>70430000000</v>
      </c>
      <c r="J19" s="20" t="s">
        <v>244</v>
      </c>
      <c r="K19" s="12">
        <f>IF(J19="-", 0, VLOOKUP(J19, '3.CSDL Don Gia &amp; Delta Options'!$C$28:$G$67, 3, FALSE))</f>
        <v>0</v>
      </c>
      <c r="L19" s="12">
        <f t="shared" si="2"/>
        <v>70430000000</v>
      </c>
      <c r="M19" s="12">
        <v>0</v>
      </c>
      <c r="N19" s="12">
        <f t="shared" si="3"/>
        <v>101130000000</v>
      </c>
      <c r="O19" s="12">
        <f t="shared" si="0"/>
        <v>843618.57562515407</v>
      </c>
      <c r="P19" s="11" t="s">
        <v>362</v>
      </c>
    </row>
    <row r="20" spans="2:16" ht="24" customHeight="1" x14ac:dyDescent="0.35">
      <c r="B20" s="6" t="s">
        <v>44</v>
      </c>
      <c r="C20" s="7" t="s">
        <v>363</v>
      </c>
      <c r="D20" s="6"/>
      <c r="E20" s="8">
        <f>SUM(E21:E24)</f>
        <v>235370000000</v>
      </c>
      <c r="F20" s="6" t="s">
        <v>328</v>
      </c>
      <c r="G20" s="8">
        <f>SUM(G21:G24)</f>
        <v>0</v>
      </c>
      <c r="H20" s="8">
        <f>SUM(H21:H24)</f>
        <v>235370000000</v>
      </c>
      <c r="I20" s="8">
        <f>SUM(I21:I24)</f>
        <v>434720000000</v>
      </c>
      <c r="J20" s="6" t="s">
        <v>328</v>
      </c>
      <c r="K20" s="8">
        <f>SUM(K21:K24)</f>
        <v>0</v>
      </c>
      <c r="L20" s="8">
        <f>SUM(L21:L24)</f>
        <v>434720000000</v>
      </c>
      <c r="M20" s="8">
        <f>SUM(M21:M24)</f>
        <v>0</v>
      </c>
      <c r="N20" s="8">
        <f>SUM(N21:N24)</f>
        <v>670090000000</v>
      </c>
      <c r="O20" s="8">
        <f t="shared" si="0"/>
        <v>5589838.5379280085</v>
      </c>
      <c r="P20" s="7" t="s">
        <v>364</v>
      </c>
    </row>
    <row r="21" spans="2:16" ht="21" customHeight="1" outlineLevel="1" x14ac:dyDescent="0.35">
      <c r="B21" s="10" t="s">
        <v>365</v>
      </c>
      <c r="C21" s="11" t="s">
        <v>366</v>
      </c>
      <c r="D21" s="10" t="s">
        <v>345</v>
      </c>
      <c r="E21" s="12">
        <v>56500000000</v>
      </c>
      <c r="F21" s="19" t="s">
        <v>328</v>
      </c>
      <c r="G21" s="12">
        <v>0</v>
      </c>
      <c r="H21" s="12">
        <f>E21+G21</f>
        <v>56500000000</v>
      </c>
      <c r="I21" s="12">
        <v>104300000000</v>
      </c>
      <c r="J21" s="19" t="s">
        <v>328</v>
      </c>
      <c r="K21" s="12">
        <v>0</v>
      </c>
      <c r="L21" s="12">
        <f>I21+K21</f>
        <v>104300000000</v>
      </c>
      <c r="M21" s="12">
        <v>0</v>
      </c>
      <c r="N21" s="12">
        <f>H21+L21+M21</f>
        <v>160800000000</v>
      </c>
      <c r="O21" s="12">
        <f t="shared" si="0"/>
        <v>1341381.0635867179</v>
      </c>
      <c r="P21" s="11" t="s">
        <v>367</v>
      </c>
    </row>
    <row r="22" spans="2:16" ht="21" customHeight="1" outlineLevel="1" x14ac:dyDescent="0.35">
      <c r="B22" s="10" t="s">
        <v>368</v>
      </c>
      <c r="C22" s="11" t="s">
        <v>369</v>
      </c>
      <c r="D22" s="10" t="s">
        <v>352</v>
      </c>
      <c r="E22" s="12">
        <v>38400000000</v>
      </c>
      <c r="F22" s="20" t="s">
        <v>254</v>
      </c>
      <c r="G22" s="12">
        <f>IF(F22="-", 0, VLOOKUP(F22, '3.CSDL Don Gia &amp; Delta Options'!$C$28:$G$67, 2, FALSE))</f>
        <v>0</v>
      </c>
      <c r="H22" s="12">
        <f>E22+G22</f>
        <v>38400000000</v>
      </c>
      <c r="I22" s="12">
        <v>71000000000</v>
      </c>
      <c r="J22" s="20" t="s">
        <v>264</v>
      </c>
      <c r="K22" s="12">
        <f>IF(J22="-", 0, VLOOKUP(J22, '3.CSDL Don Gia &amp; Delta Options'!$C$28:$G$67, 3, FALSE))</f>
        <v>0</v>
      </c>
      <c r="L22" s="12">
        <f>I22+K22</f>
        <v>71000000000</v>
      </c>
      <c r="M22" s="12">
        <v>0</v>
      </c>
      <c r="N22" s="12">
        <f>H22+L22+M22</f>
        <v>109400000000</v>
      </c>
      <c r="O22" s="12">
        <f t="shared" si="0"/>
        <v>912606.27087305312</v>
      </c>
      <c r="P22" s="11" t="s">
        <v>370</v>
      </c>
    </row>
    <row r="23" spans="2:16" ht="21" customHeight="1" outlineLevel="1" x14ac:dyDescent="0.35">
      <c r="B23" s="10" t="s">
        <v>371</v>
      </c>
      <c r="C23" s="11" t="s">
        <v>372</v>
      </c>
      <c r="D23" s="10" t="s">
        <v>352</v>
      </c>
      <c r="E23" s="12">
        <v>44400000000</v>
      </c>
      <c r="F23" s="20" t="s">
        <v>274</v>
      </c>
      <c r="G23" s="12">
        <f>IF(F23="-", 0, VLOOKUP(F23, '3.CSDL Don Gia &amp; Delta Options'!$C$28:$G$67, 2, FALSE))</f>
        <v>0</v>
      </c>
      <c r="H23" s="12">
        <f>E23+G23</f>
        <v>44400000000</v>
      </c>
      <c r="I23" s="12">
        <v>82000000000</v>
      </c>
      <c r="J23" s="20" t="s">
        <v>284</v>
      </c>
      <c r="K23" s="12">
        <f>IF(J23="-", 0, VLOOKUP(J23, '3.CSDL Don Gia &amp; Delta Options'!$C$28:$G$67, 3, FALSE))</f>
        <v>0</v>
      </c>
      <c r="L23" s="12">
        <f>I23+K23</f>
        <v>82000000000</v>
      </c>
      <c r="M23" s="12">
        <v>0</v>
      </c>
      <c r="N23" s="12">
        <f>H23+L23+M23</f>
        <v>126400000000</v>
      </c>
      <c r="O23" s="12">
        <f t="shared" si="0"/>
        <v>1054418.9455059771</v>
      </c>
      <c r="P23" s="11" t="s">
        <v>373</v>
      </c>
    </row>
    <row r="24" spans="2:16" ht="21" customHeight="1" outlineLevel="1" x14ac:dyDescent="0.35">
      <c r="B24" s="10" t="s">
        <v>374</v>
      </c>
      <c r="C24" s="11" t="s">
        <v>375</v>
      </c>
      <c r="D24" s="10" t="s">
        <v>345</v>
      </c>
      <c r="E24" s="12">
        <v>96070000000</v>
      </c>
      <c r="F24" s="20" t="s">
        <v>297</v>
      </c>
      <c r="G24" s="12">
        <f>IF(F24="-", 0, VLOOKUP(F24, '3.CSDL Don Gia &amp; Delta Options'!$C$28:$G$67, 2, FALSE))</f>
        <v>0</v>
      </c>
      <c r="H24" s="12">
        <f>E24+G24</f>
        <v>96070000000</v>
      </c>
      <c r="I24" s="12">
        <v>177420000000</v>
      </c>
      <c r="J24" s="21" t="s">
        <v>376</v>
      </c>
      <c r="K24" s="12">
        <f>IF(F24="-", 0, VLOOKUP(F24, '3.CSDL Don Gia &amp; Delta Options'!$C$28:$G$67, 3, FALSE))</f>
        <v>0</v>
      </c>
      <c r="L24" s="12">
        <f>I24+K24</f>
        <v>177420000000</v>
      </c>
      <c r="M24" s="12">
        <v>0</v>
      </c>
      <c r="N24" s="12">
        <f>H24+L24+M24</f>
        <v>273490000000</v>
      </c>
      <c r="O24" s="12">
        <f t="shared" si="0"/>
        <v>2281432.2579622604</v>
      </c>
      <c r="P24" s="11" t="s">
        <v>377</v>
      </c>
    </row>
    <row r="25" spans="2:16" ht="24" customHeight="1" x14ac:dyDescent="0.35">
      <c r="B25" s="6" t="s">
        <v>79</v>
      </c>
      <c r="C25" s="7" t="s">
        <v>378</v>
      </c>
      <c r="D25" s="6"/>
      <c r="E25" s="8">
        <f>SUM(E26:E27)</f>
        <v>0</v>
      </c>
      <c r="F25" s="6" t="s">
        <v>328</v>
      </c>
      <c r="G25" s="8">
        <f>SUM(G26:G27)</f>
        <v>0</v>
      </c>
      <c r="H25" s="8">
        <f>SUM(H26:H27)</f>
        <v>0</v>
      </c>
      <c r="I25" s="8">
        <f>SUM(I26:I27)</f>
        <v>0</v>
      </c>
      <c r="J25" s="6" t="s">
        <v>328</v>
      </c>
      <c r="K25" s="8">
        <f>SUM(K26:K27)</f>
        <v>0</v>
      </c>
      <c r="L25" s="8">
        <f>SUM(L26:L27)</f>
        <v>0</v>
      </c>
      <c r="M25" s="8">
        <f>SUM(M26:M27)</f>
        <v>51072044799</v>
      </c>
      <c r="N25" s="8">
        <f>SUM(N26:N27)</f>
        <v>51072044799</v>
      </c>
      <c r="O25" s="8">
        <f t="shared" si="0"/>
        <v>426039.01599521842</v>
      </c>
      <c r="P25" s="7" t="s">
        <v>379</v>
      </c>
    </row>
    <row r="26" spans="2:16" ht="21" customHeight="1" outlineLevel="1" x14ac:dyDescent="0.35">
      <c r="B26" s="10" t="s">
        <v>380</v>
      </c>
      <c r="C26" s="11" t="s">
        <v>381</v>
      </c>
      <c r="D26" s="10" t="s">
        <v>382</v>
      </c>
      <c r="E26" s="12">
        <v>0</v>
      </c>
      <c r="F26" s="19" t="s">
        <v>328</v>
      </c>
      <c r="G26" s="12">
        <v>0</v>
      </c>
      <c r="H26" s="12">
        <f>E26+G26</f>
        <v>0</v>
      </c>
      <c r="I26" s="12">
        <v>0</v>
      </c>
      <c r="J26" s="19" t="s">
        <v>328</v>
      </c>
      <c r="K26" s="12">
        <v>0</v>
      </c>
      <c r="L26" s="12">
        <f>I26+K26</f>
        <v>0</v>
      </c>
      <c r="M26" s="12">
        <v>51072044799</v>
      </c>
      <c r="N26" s="12">
        <f>H26+L26+M26</f>
        <v>51072044799</v>
      </c>
      <c r="O26" s="12">
        <f t="shared" si="0"/>
        <v>426039.01599521842</v>
      </c>
      <c r="P26" s="11" t="s">
        <v>383</v>
      </c>
    </row>
    <row r="27" spans="2:16" ht="21" customHeight="1" outlineLevel="1" x14ac:dyDescent="0.35">
      <c r="B27" s="10" t="s">
        <v>384</v>
      </c>
      <c r="C27" s="11" t="s">
        <v>385</v>
      </c>
      <c r="D27" s="10" t="s">
        <v>345</v>
      </c>
      <c r="E27" s="12">
        <v>0</v>
      </c>
      <c r="F27" s="19" t="s">
        <v>328</v>
      </c>
      <c r="G27" s="12">
        <v>0</v>
      </c>
      <c r="H27" s="12">
        <f>E27+G27</f>
        <v>0</v>
      </c>
      <c r="I27" s="12">
        <v>0</v>
      </c>
      <c r="J27" s="19" t="s">
        <v>328</v>
      </c>
      <c r="K27" s="12">
        <v>0</v>
      </c>
      <c r="L27" s="12">
        <f>I27+K27</f>
        <v>0</v>
      </c>
      <c r="M27" s="12">
        <v>0</v>
      </c>
      <c r="N27" s="12">
        <f>H27+L27+M27</f>
        <v>0</v>
      </c>
      <c r="O27" s="12">
        <f t="shared" si="0"/>
        <v>0</v>
      </c>
      <c r="P27" s="11" t="s">
        <v>386</v>
      </c>
    </row>
    <row r="28" spans="2:16" ht="25" customHeight="1" x14ac:dyDescent="0.35">
      <c r="B28" s="14" t="s">
        <v>121</v>
      </c>
      <c r="C28" s="15" t="s">
        <v>387</v>
      </c>
      <c r="D28" s="14" t="s">
        <v>19</v>
      </c>
      <c r="E28" s="16">
        <f>E9+E13+E20+E25</f>
        <v>825920000000</v>
      </c>
      <c r="F28" s="14" t="s">
        <v>328</v>
      </c>
      <c r="G28" s="16">
        <f>G9+G13+G20+G25</f>
        <v>0</v>
      </c>
      <c r="H28" s="16">
        <f>H9+H13+H20+H25</f>
        <v>825920000000</v>
      </c>
      <c r="I28" s="16">
        <f>I9+I13+I20+I25</f>
        <v>1499300000000</v>
      </c>
      <c r="J28" s="14" t="s">
        <v>328</v>
      </c>
      <c r="K28" s="16">
        <f>K9+K13+K20+K25</f>
        <v>0</v>
      </c>
      <c r="L28" s="16">
        <f>L9+L13+L20+L25</f>
        <v>1499300000000</v>
      </c>
      <c r="M28" s="16">
        <f>M9+M13+M20+M25</f>
        <v>51072044799</v>
      </c>
      <c r="N28" s="16">
        <f>N9+N13+N20+N25</f>
        <v>2376292044799</v>
      </c>
      <c r="O28" s="16">
        <f t="shared" si="0"/>
        <v>19822842.975405093</v>
      </c>
      <c r="P28" s="15" t="s">
        <v>388</v>
      </c>
    </row>
  </sheetData>
  <mergeCells count="4">
    <mergeCell ref="B7:D7"/>
    <mergeCell ref="N7:O7"/>
    <mergeCell ref="E7:H7"/>
    <mergeCell ref="I7:L7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xr:uid="{00000000-0002-0000-0200-000000000000}">
          <x14:formula1>
            <xm:f>'3.CSDL Don Gia &amp; Delta Options'!$C$28:$C$30</xm:f>
          </x14:formula1>
          <xm:sqref>F15</xm:sqref>
        </x14:dataValidation>
        <x14:dataValidation type="list" allowBlank="1" xr:uid="{00000000-0002-0000-0200-000001000000}">
          <x14:formula1>
            <xm:f>'3.CSDL Don Gia &amp; Delta Options'!$C$31:$C$33</xm:f>
          </x14:formula1>
          <xm:sqref>J15</xm:sqref>
        </x14:dataValidation>
        <x14:dataValidation type="list" allowBlank="1" xr:uid="{00000000-0002-0000-0200-000002000000}">
          <x14:formula1>
            <xm:f>'3.CSDL Don Gia &amp; Delta Options'!$C$34:$C$36</xm:f>
          </x14:formula1>
          <xm:sqref>F17</xm:sqref>
        </x14:dataValidation>
        <x14:dataValidation type="list" allowBlank="1" xr:uid="{00000000-0002-0000-0200-000003000000}">
          <x14:formula1>
            <xm:f>'3.CSDL Don Gia &amp; Delta Options'!$C$37:$C$39</xm:f>
          </x14:formula1>
          <xm:sqref>J17</xm:sqref>
        </x14:dataValidation>
        <x14:dataValidation type="list" allowBlank="1" xr:uid="{00000000-0002-0000-0200-000004000000}">
          <x14:formula1>
            <xm:f>'3.CSDL Don Gia &amp; Delta Options'!$C$40:$C$42</xm:f>
          </x14:formula1>
          <xm:sqref>F18</xm:sqref>
        </x14:dataValidation>
        <x14:dataValidation type="list" allowBlank="1" xr:uid="{00000000-0002-0000-0200-000005000000}">
          <x14:formula1>
            <xm:f>'3.CSDL Don Gia &amp; Delta Options'!$C$43:$C$45</xm:f>
          </x14:formula1>
          <xm:sqref>J18</xm:sqref>
        </x14:dataValidation>
        <x14:dataValidation type="list" allowBlank="1" xr:uid="{00000000-0002-0000-0200-000006000000}">
          <x14:formula1>
            <xm:f>'3.CSDL Don Gia &amp; Delta Options'!$C$46:$C$48</xm:f>
          </x14:formula1>
          <xm:sqref>F19</xm:sqref>
        </x14:dataValidation>
        <x14:dataValidation type="list" allowBlank="1" xr:uid="{00000000-0002-0000-0200-000007000000}">
          <x14:formula1>
            <xm:f>'3.CSDL Don Gia &amp; Delta Options'!$C$49:$C$51</xm:f>
          </x14:formula1>
          <xm:sqref>J19</xm:sqref>
        </x14:dataValidation>
        <x14:dataValidation type="list" allowBlank="1" xr:uid="{00000000-0002-0000-0200-000008000000}">
          <x14:formula1>
            <xm:f>'3.CSDL Don Gia &amp; Delta Options'!$C$52:$C$54</xm:f>
          </x14:formula1>
          <xm:sqref>F22</xm:sqref>
        </x14:dataValidation>
        <x14:dataValidation type="list" allowBlank="1" xr:uid="{00000000-0002-0000-0200-000009000000}">
          <x14:formula1>
            <xm:f>'3.CSDL Don Gia &amp; Delta Options'!$C$55:$C$57</xm:f>
          </x14:formula1>
          <xm:sqref>J22</xm:sqref>
        </x14:dataValidation>
        <x14:dataValidation type="list" allowBlank="1" xr:uid="{00000000-0002-0000-0200-00000A000000}">
          <x14:formula1>
            <xm:f>'3.CSDL Don Gia &amp; Delta Options'!$C$58:$C$60</xm:f>
          </x14:formula1>
          <xm:sqref>F23</xm:sqref>
        </x14:dataValidation>
        <x14:dataValidation type="list" allowBlank="1" xr:uid="{00000000-0002-0000-0200-00000B000000}">
          <x14:formula1>
            <xm:f>'3.CSDL Don Gia &amp; Delta Options'!$C$61:$C$64</xm:f>
          </x14:formula1>
          <xm:sqref>J23</xm:sqref>
        </x14:dataValidation>
        <x14:dataValidation type="list" allowBlank="1" xr:uid="{00000000-0002-0000-0200-00000C000000}">
          <x14:formula1>
            <xm:f>'3.CSDL Don Gia &amp; Delta Options'!$C$65:$C$67</xm:f>
          </x14:formula1>
          <xm:sqref>F24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13"/>
  <sheetViews>
    <sheetView workbookViewId="0"/>
  </sheetViews>
  <sheetFormatPr defaultRowHeight="14.5" x14ac:dyDescent="0.35"/>
  <cols>
    <col min="2" max="2" width="10" customWidth="1"/>
    <col min="3" max="3" width="44" customWidth="1"/>
    <col min="4" max="5" width="24" customWidth="1"/>
    <col min="6" max="6" width="20" customWidth="1"/>
    <col min="7" max="7" width="16" customWidth="1"/>
    <col min="8" max="8" width="30" customWidth="1"/>
    <col min="9" max="9" width="48" customWidth="1"/>
  </cols>
  <sheetData>
    <row r="2" spans="2:9" x14ac:dyDescent="0.35">
      <c r="B2" s="1" t="s">
        <v>124</v>
      </c>
    </row>
    <row r="3" spans="2:9" ht="18.5" x14ac:dyDescent="0.45">
      <c r="B3" s="2" t="s">
        <v>389</v>
      </c>
    </row>
    <row r="4" spans="2:9" x14ac:dyDescent="0.35">
      <c r="B4" s="4" t="s">
        <v>390</v>
      </c>
    </row>
    <row r="6" spans="2:9" ht="26" customHeight="1" x14ac:dyDescent="0.35">
      <c r="B6" s="5" t="s">
        <v>128</v>
      </c>
      <c r="C6" s="5" t="s">
        <v>391</v>
      </c>
      <c r="D6" s="5" t="s">
        <v>392</v>
      </c>
      <c r="E6" s="5" t="s">
        <v>393</v>
      </c>
      <c r="F6" s="5" t="s">
        <v>394</v>
      </c>
      <c r="G6" s="5" t="s">
        <v>395</v>
      </c>
      <c r="H6" s="5" t="s">
        <v>396</v>
      </c>
      <c r="I6" s="5" t="s">
        <v>397</v>
      </c>
    </row>
    <row r="7" spans="2:9" ht="22" customHeight="1" x14ac:dyDescent="0.35">
      <c r="B7" s="10" t="s">
        <v>16</v>
      </c>
      <c r="C7" s="11" t="s">
        <v>398</v>
      </c>
      <c r="D7" s="12">
        <v>2376292044799</v>
      </c>
      <c r="E7" s="12">
        <f>'1.Bang Tong Hop TMDT'!K8</f>
        <v>2376292044799</v>
      </c>
      <c r="F7" s="12">
        <f t="shared" ref="F7:F13" si="0">E7-D7</f>
        <v>0</v>
      </c>
      <c r="G7" s="13">
        <f t="shared" ref="G7:G12" si="1">IF(D7=0, 0, F7/D7)</f>
        <v>0</v>
      </c>
      <c r="H7" s="10" t="str">
        <f t="shared" ref="H7:H12" si="2">IF(ABS(F7)&lt;1000000, "✅ KHỚP CHUẨN", IF(F7&gt;0, "🔺 TĂNG CHI PHÍ", "🔻 TIẾT GIẢM CHI PHÍ"))</f>
        <v>✅ KHỚP CHUẨN</v>
      </c>
      <c r="I7" s="11" t="s">
        <v>399</v>
      </c>
    </row>
    <row r="8" spans="2:9" ht="22" customHeight="1" x14ac:dyDescent="0.35">
      <c r="B8" s="10" t="s">
        <v>41</v>
      </c>
      <c r="C8" s="11" t="s">
        <v>400</v>
      </c>
      <c r="D8" s="12">
        <v>22384671062</v>
      </c>
      <c r="E8" s="12">
        <f>'1.Bang Tong Hop TMDT'!K16</f>
        <v>22384671062.00658</v>
      </c>
      <c r="F8" s="12">
        <f t="shared" si="0"/>
        <v>6.580352783203125E-3</v>
      </c>
      <c r="G8" s="13">
        <f t="shared" si="1"/>
        <v>2.9396691892309592E-13</v>
      </c>
      <c r="H8" s="10" t="str">
        <f t="shared" si="2"/>
        <v>✅ KHỚP CHUẨN</v>
      </c>
      <c r="I8" s="11" t="s">
        <v>401</v>
      </c>
    </row>
    <row r="9" spans="2:9" ht="22" customHeight="1" x14ac:dyDescent="0.35">
      <c r="B9" s="10" t="s">
        <v>44</v>
      </c>
      <c r="C9" s="11" t="s">
        <v>402</v>
      </c>
      <c r="D9" s="12">
        <v>46835744089</v>
      </c>
      <c r="E9" s="12">
        <f>'1.Bang Tong Hop TMDT'!K17</f>
        <v>46835744089</v>
      </c>
      <c r="F9" s="12">
        <f t="shared" si="0"/>
        <v>0</v>
      </c>
      <c r="G9" s="13">
        <f t="shared" si="1"/>
        <v>0</v>
      </c>
      <c r="H9" s="10" t="str">
        <f t="shared" si="2"/>
        <v>✅ KHỚP CHUẨN</v>
      </c>
      <c r="I9" s="11" t="s">
        <v>403</v>
      </c>
    </row>
    <row r="10" spans="2:9" ht="22" customHeight="1" x14ac:dyDescent="0.35">
      <c r="B10" s="10" t="s">
        <v>79</v>
      </c>
      <c r="C10" s="11" t="s">
        <v>404</v>
      </c>
      <c r="D10" s="12">
        <v>49288285754</v>
      </c>
      <c r="E10" s="12">
        <f>'1.Bang Tong Hop TMDT'!K30</f>
        <v>49288285754</v>
      </c>
      <c r="F10" s="12">
        <f t="shared" si="0"/>
        <v>0</v>
      </c>
      <c r="G10" s="13">
        <f t="shared" si="1"/>
        <v>0</v>
      </c>
      <c r="H10" s="10" t="str">
        <f t="shared" si="2"/>
        <v>✅ KHỚP CHUẨN</v>
      </c>
      <c r="I10" s="11" t="s">
        <v>405</v>
      </c>
    </row>
    <row r="11" spans="2:9" ht="22" customHeight="1" x14ac:dyDescent="0.35">
      <c r="B11" s="10" t="s">
        <v>109</v>
      </c>
      <c r="C11" s="11" t="s">
        <v>406</v>
      </c>
      <c r="D11" s="12">
        <v>249502827971</v>
      </c>
      <c r="E11" s="12">
        <f>'1.Bang Tong Hop TMDT'!K40</f>
        <v>249480074570.40063</v>
      </c>
      <c r="F11" s="12">
        <f t="shared" si="0"/>
        <v>-22753400.599365234</v>
      </c>
      <c r="G11" s="13">
        <f t="shared" si="1"/>
        <v>-9.1194960732107972E-5</v>
      </c>
      <c r="H11" s="10" t="str">
        <f t="shared" si="2"/>
        <v>🔻 TIẾT GIẢM CHI PHÍ</v>
      </c>
      <c r="I11" s="11" t="s">
        <v>111</v>
      </c>
    </row>
    <row r="12" spans="2:9" ht="22" customHeight="1" x14ac:dyDescent="0.35">
      <c r="B12" s="10" t="s">
        <v>118</v>
      </c>
      <c r="C12" s="11" t="s">
        <v>407</v>
      </c>
      <c r="D12" s="12">
        <v>0</v>
      </c>
      <c r="E12" s="12">
        <f>'1.Bang Tong Hop TMDT'!K43</f>
        <v>0</v>
      </c>
      <c r="F12" s="12">
        <f t="shared" si="0"/>
        <v>0</v>
      </c>
      <c r="G12" s="13">
        <f t="shared" si="1"/>
        <v>0</v>
      </c>
      <c r="H12" s="10" t="str">
        <f t="shared" si="2"/>
        <v>✅ KHỚP CHUẨN</v>
      </c>
      <c r="I12" s="11" t="s">
        <v>408</v>
      </c>
    </row>
    <row r="13" spans="2:9" ht="26" customHeight="1" x14ac:dyDescent="0.35">
      <c r="B13" s="22" t="s">
        <v>121</v>
      </c>
      <c r="C13" s="22" t="s">
        <v>409</v>
      </c>
      <c r="D13" s="16">
        <v>2744531107679</v>
      </c>
      <c r="E13" s="16">
        <f>'1.Bang Tong Hop TMDT'!K47</f>
        <v>2744280820274.4072</v>
      </c>
      <c r="F13" s="16">
        <f t="shared" si="0"/>
        <v>-250287404.59277344</v>
      </c>
      <c r="G13" s="17">
        <f>F13/D13</f>
        <v>-9.1194960003363541E-5</v>
      </c>
      <c r="H13" s="14" t="str">
        <f>IF(ABS(F13)&lt;500000000, "✅ KHỚP KHÁI TOÁN (Sai lệch &lt; 0.01%)", "ĐANG ĐIỀU CHỈNH OPTION")</f>
        <v>✅ KHỚP KHÁI TOÁN (Sai lệch &lt; 0.01%)</v>
      </c>
      <c r="I13" s="15" t="s">
        <v>410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N45"/>
  <sheetViews>
    <sheetView workbookViewId="0"/>
  </sheetViews>
  <sheetFormatPr defaultRowHeight="14.5" x14ac:dyDescent="0.35"/>
  <cols>
    <col min="2" max="2" width="10" customWidth="1"/>
    <col min="3" max="3" width="38" customWidth="1"/>
    <col min="4" max="4" width="14" customWidth="1"/>
    <col min="5" max="5" width="40" customWidth="1"/>
    <col min="6" max="6" width="18" customWidth="1"/>
    <col min="7" max="10" width="16" customWidth="1"/>
    <col min="11" max="11" width="20" customWidth="1"/>
    <col min="12" max="12" width="18" customWidth="1"/>
    <col min="13" max="13" width="16" customWidth="1"/>
    <col min="14" max="14" width="30" customWidth="1"/>
    <col min="15" max="18" width="10" customWidth="1"/>
  </cols>
  <sheetData>
    <row r="2" spans="2:14" x14ac:dyDescent="0.35">
      <c r="B2" s="1" t="s">
        <v>124</v>
      </c>
    </row>
    <row r="3" spans="2:14" ht="18.5" x14ac:dyDescent="0.45">
      <c r="B3" s="2" t="s">
        <v>411</v>
      </c>
    </row>
    <row r="4" spans="2:14" x14ac:dyDescent="0.35">
      <c r="B4" s="4" t="s">
        <v>412</v>
      </c>
    </row>
    <row r="6" spans="2:14" x14ac:dyDescent="0.35">
      <c r="B6" s="3" t="s">
        <v>413</v>
      </c>
    </row>
    <row r="7" spans="2:14" ht="28" customHeight="1" x14ac:dyDescent="0.35">
      <c r="B7" s="5" t="s">
        <v>128</v>
      </c>
      <c r="C7" s="5" t="s">
        <v>414</v>
      </c>
      <c r="D7" s="5" t="s">
        <v>415</v>
      </c>
      <c r="E7" s="5" t="s">
        <v>416</v>
      </c>
      <c r="F7" s="5" t="s">
        <v>417</v>
      </c>
      <c r="G7" s="5" t="s">
        <v>418</v>
      </c>
      <c r="H7" s="5" t="s">
        <v>419</v>
      </c>
      <c r="I7" s="5" t="s">
        <v>420</v>
      </c>
      <c r="J7" s="5" t="s">
        <v>421</v>
      </c>
      <c r="K7" s="5" t="s">
        <v>422</v>
      </c>
      <c r="L7" s="5" t="s">
        <v>423</v>
      </c>
      <c r="M7" s="5" t="s">
        <v>424</v>
      </c>
      <c r="N7" s="5" t="s">
        <v>425</v>
      </c>
    </row>
    <row r="8" spans="2:14" ht="22" customHeight="1" x14ac:dyDescent="0.35">
      <c r="B8" s="10">
        <v>1</v>
      </c>
      <c r="C8" s="11" t="s">
        <v>400</v>
      </c>
      <c r="D8" s="10" t="s">
        <v>426</v>
      </c>
      <c r="E8" s="11" t="s">
        <v>427</v>
      </c>
      <c r="F8" s="23">
        <f>'1.Bang Tong Hop TMDT'!K8 / 1.1 / 1000000000</f>
        <v>2160.2654952718181</v>
      </c>
      <c r="G8" s="12">
        <f>IF(F8&lt;=$C$20, $C$20, INDEX($C$20:$N$20, MATCH(F8, $C$20:$N$20, 1)))</f>
        <v>2000</v>
      </c>
      <c r="H8" s="18">
        <f>IF(F8&lt;=$C$20, $C$21/100, INDEX($C$21:$N$21, MATCH(F8, $C$20:$N$20, 1))/100)</f>
        <v>9.4999999999999998E-3</v>
      </c>
      <c r="I8" s="12">
        <f>IF(F8&lt;=$C$20, $D$20, IF(F8&gt;=$N$20, $N$20, INDEX($C$20:$N$20, MATCH(F8, $C$20:$N$20, 1)+1)))</f>
        <v>5000</v>
      </c>
      <c r="J8" s="18">
        <f>IF(F8&lt;=$C$20, $D$21/100, IF(F8&gt;=$N$20, $N$21/100, INDEX($C$21:$N$21, MATCH(F8, $C$20:$N$20, 1)+1)/100))</f>
        <v>8.1000000000000013E-3</v>
      </c>
      <c r="K8" s="24">
        <f>IF(F8&lt;=$C$20, $C$21/100, IF(F8&gt;=$N$20, ($N$21 - ($M$21-$N$21)/($N$20-$M$20)*(F8-$N$20))/100, H8 - (H8-J8)/(I8-G8)*(F8-G8)))</f>
        <v>9.4252094355398181E-3</v>
      </c>
      <c r="L8" s="25">
        <f>'3.CSDL Don Gia &amp; Delta Options'!$D$10</f>
        <v>9.4199999999999996E-3</v>
      </c>
      <c r="M8" s="25">
        <f>K8-L8</f>
        <v>5.2094355398185632E-6</v>
      </c>
      <c r="N8" s="10" t="str">
        <f>IF(F8&lt;=$C$20, "Mốc tối thiểu (" &amp; $C$20 &amp; " tỷ)", IF(F8&gt;=$N$20, "Ngoại suy trên mốc " &amp; $N$20 &amp; " tỷ", "Nội suy giữa " &amp; G8 &amp; " và " &amp; I8 &amp; " tỷ"))</f>
        <v>Nội suy giữa 2000 và 5000 tỷ</v>
      </c>
    </row>
    <row r="9" spans="2:14" ht="22" customHeight="1" x14ac:dyDescent="0.35">
      <c r="B9" s="10">
        <v>2</v>
      </c>
      <c r="C9" s="11" t="s">
        <v>68</v>
      </c>
      <c r="D9" s="10" t="s">
        <v>428</v>
      </c>
      <c r="E9" s="11" t="s">
        <v>429</v>
      </c>
      <c r="F9" s="23">
        <f>'1.Bang Tong Hop TMDT'!K8 * '3.CSDL Don Gia &amp; Delta Options'!$D$8 / 1.1 / 1000000000</f>
        <v>1899.7871626484277</v>
      </c>
      <c r="G9" s="12">
        <f>IF(F9&lt;=$C$24, $C$24, INDEX($C$24:$M$24, MATCH(F9, $C$24:$M$24, 1)))</f>
        <v>1000</v>
      </c>
      <c r="H9" s="18">
        <f>IF(F9&lt;=$C$24, $C$25/100, INDEX($C$25:$M$25, MATCH(F9, $C$24:$M$24, 1))/100)</f>
        <v>4.8000000000000001E-4</v>
      </c>
      <c r="I9" s="12">
        <f>IF(F9&lt;=$C$24, $D$24, IF(F9&gt;=$M$24, $M$24, INDEX($C$24:$M$24, MATCH(F9, $C$24:$M$24, 1)+1)))</f>
        <v>2000</v>
      </c>
      <c r="J9" s="18">
        <f>IF(F9&lt;=$C$24, $D$25/100, IF(F9&gt;=$M$24, $M$25/100, INDEX($C$25:$M$25, MATCH(F9, $C$24:$M$24, 1)+1)/100))</f>
        <v>4.4999999999999999E-4</v>
      </c>
      <c r="K9" s="24">
        <f>IF(F9&lt;=$C$24, $C$25/100, IF(F9&gt;=$M$24, ($M$25 - ($L$25-$M$25)/($M$24-$L$24)*(F9-$M$24))/100, H9 - (H9-J9)/(I9-G9)*(F9-G9)))</f>
        <v>4.5300638512054715E-4</v>
      </c>
      <c r="L9" s="25">
        <f>'3.CSDL Don Gia &amp; Delta Options'!$D$11</f>
        <v>4.4000000000000002E-4</v>
      </c>
      <c r="M9" s="25">
        <f>K9-L9</f>
        <v>1.3006385120547137E-5</v>
      </c>
      <c r="N9" s="10" t="str">
        <f>IF(F9&lt;=$C$24, "Mốc tối thiểu (" &amp; $C$24 &amp; " tỷ)", IF(F9&gt;=$M$24, "Ngoại suy trên mốc " &amp; $M$24 &amp; " tỷ", "Nội suy giữa " &amp; G9 &amp; " và " &amp; I9 &amp; " tỷ"))</f>
        <v>Nội suy giữa 1000 và 2000 tỷ</v>
      </c>
    </row>
    <row r="10" spans="2:14" ht="22" customHeight="1" x14ac:dyDescent="0.35">
      <c r="B10" s="10">
        <v>3</v>
      </c>
      <c r="C10" s="11" t="s">
        <v>430</v>
      </c>
      <c r="D10" s="10" t="s">
        <v>431</v>
      </c>
      <c r="E10" s="11" t="s">
        <v>429</v>
      </c>
      <c r="F10" s="23">
        <f>'1.Bang Tong Hop TMDT'!K8 * '3.CSDL Don Gia &amp; Delta Options'!$D$8 / 1.1 / 1000000000</f>
        <v>1899.7871626484277</v>
      </c>
      <c r="G10" s="12">
        <f>IF(F10&lt;=$C$28, $C$28, INDEX($C$28:$M$28, MATCH(F10, $C$28:$M$28, 1)))</f>
        <v>1000</v>
      </c>
      <c r="H10" s="18">
        <f>IF(F10&lt;=$C$28, $C$29/100, INDEX($C$29:$M$29, MATCH(F10, $C$28:$M$28, 1))/100)</f>
        <v>5.0000000000000001E-4</v>
      </c>
      <c r="I10" s="12">
        <f>IF(F10&lt;=$C$28, $D$28, IF(F10&gt;=$M$28, $M$28, INDEX($C$28:$M$28, MATCH(F10, $C$28:$M$28, 1)+1)))</f>
        <v>2000</v>
      </c>
      <c r="J10" s="18">
        <f>IF(F10&lt;=$C$28, $D$29/100, IF(F10&gt;=$M$28, $M$29/100, INDEX($C$29:$M$29, MATCH(F10, $C$28:$M$28, 1)+1)/100))</f>
        <v>4.6000000000000001E-4</v>
      </c>
      <c r="K10" s="24">
        <f>IF(F10&lt;=$C$28, $C$29/100, IF(F10&gt;=$M$28, ($M$29 - ($L$29-$M$29)/($M$28-$L$28)*(F10-$M$28))/100, H10 - (H10-J10)/(I10-G10)*(F10-G10)))</f>
        <v>4.6400851349406288E-4</v>
      </c>
      <c r="L10" s="25">
        <f>'3.CSDL Don Gia &amp; Delta Options'!$D$18</f>
        <v>2.9999999999999997E-4</v>
      </c>
      <c r="M10" s="25">
        <f>K10-L10</f>
        <v>1.6400851349406291E-4</v>
      </c>
      <c r="N10" s="10" t="str">
        <f>IF(F10&lt;=$C$28, "Mốc tối thiểu (" &amp; $C$28 &amp; " tỷ)", IF(F10&gt;=$M$28, "Ngoại suy trên mốc " &amp; $M$28 &amp; " tỷ", "Nội suy giữa " &amp; G10 &amp; " và " &amp; I10 &amp; " tỷ"))</f>
        <v>Nội suy giữa 1000 và 2000 tỷ</v>
      </c>
    </row>
    <row r="11" spans="2:14" ht="22" customHeight="1" x14ac:dyDescent="0.35">
      <c r="B11" s="10">
        <v>4</v>
      </c>
      <c r="C11" s="11" t="s">
        <v>71</v>
      </c>
      <c r="D11" s="10" t="s">
        <v>432</v>
      </c>
      <c r="E11" s="11" t="s">
        <v>429</v>
      </c>
      <c r="F11" s="23">
        <f>'1.Bang Tong Hop TMDT'!K8 * '3.CSDL Don Gia &amp; Delta Options'!$D$8 / 1.1 / 1000000000</f>
        <v>1899.7871626484277</v>
      </c>
      <c r="G11" s="12">
        <f>IF(F11&lt;=$C$32, $C$32, INDEX($C$32:$M$32, MATCH(F11, $C$32:$M$32, 1)))</f>
        <v>1000</v>
      </c>
      <c r="H11" s="18">
        <f>IF(F11&lt;=$C$32, $C$33/100, INDEX($C$33:$M$33, MATCH(F11, $C$32:$M$32, 1))/100)</f>
        <v>7.7000000000000002E-3</v>
      </c>
      <c r="I11" s="12">
        <f>IF(F11&lt;=$C$32, $D$32, IF(F11&gt;=$M$32, $M$32, INDEX($C$32:$M$32, MATCH(F11, $C$32:$M$32, 1)+1)))</f>
        <v>2000</v>
      </c>
      <c r="J11" s="18">
        <f>IF(F11&lt;=$C$32, $D$33/100, IF(F11&gt;=$M$32, $M$33/100, INDEX($C$33:$M$33, MATCH(F11, $C$32:$M$32, 1)+1)/100))</f>
        <v>6.9999999999999993E-3</v>
      </c>
      <c r="K11" s="24">
        <f>IF(F11&lt;=$C$32, $C$33/100, IF(F11&gt;=$M$32, ($M$33 - ($L$33-$M$33)/($M$32-$L$32)*(F11-$M$32))/100, H11 - (H11-J11)/(I11-G11)*(F11-G11)))</f>
        <v>7.0701489861460997E-3</v>
      </c>
      <c r="L11" s="25">
        <f>'3.CSDL Don Gia &amp; Delta Options'!$D$12</f>
        <v>7.0099999999999997E-3</v>
      </c>
      <c r="M11" s="25">
        <f>K11-L11</f>
        <v>6.0148986146099995E-5</v>
      </c>
      <c r="N11" s="10" t="str">
        <f>IF(F11&lt;=$C$32, "Mốc tối thiểu (" &amp; $C$32 &amp; " tỷ)", IF(F11&gt;=$M$32, "Ngoại suy trên mốc " &amp; $M$32 &amp; " tỷ", "Nội suy giữa " &amp; G11 &amp; " và " &amp; I11 &amp; " tỷ"))</f>
        <v>Nội suy giữa 1000 và 2000 tỷ</v>
      </c>
    </row>
    <row r="12" spans="2:14" ht="22" customHeight="1" x14ac:dyDescent="0.35">
      <c r="B12" s="10">
        <v>5</v>
      </c>
      <c r="C12" s="11" t="s">
        <v>74</v>
      </c>
      <c r="D12" s="10" t="s">
        <v>433</v>
      </c>
      <c r="E12" s="11" t="s">
        <v>434</v>
      </c>
      <c r="F12" s="23">
        <f>'1.Bang Tong Hop TMDT'!K8 * '3.CSDL Don Gia &amp; Delta Options'!$D$9 / 1.1 / 1000000000</f>
        <v>260.47833262338997</v>
      </c>
      <c r="G12" s="12">
        <f>IF(F12&lt;=$C$36, $C$36, INDEX($C$36:$M$36, MATCH(F12, $C$36:$M$36, 1)))</f>
        <v>200</v>
      </c>
      <c r="H12" s="18">
        <f>IF(F12&lt;=$C$36, $C$37/100, INDEX($C$37:$M$37, MATCH(F12, $C$36:$M$36, 1))/100)</f>
        <v>3.9000000000000003E-3</v>
      </c>
      <c r="I12" s="12">
        <f>IF(F12&lt;=$C$36, $D$36, IF(F12&gt;=$M$36, $M$36, INDEX($C$36:$M$36, MATCH(F12, $C$36:$M$36, 1)+1)))</f>
        <v>500</v>
      </c>
      <c r="J12" s="18">
        <f>IF(F12&lt;=$C$36, $D$37/100, IF(F12&gt;=$M$36, $M$37/100, INDEX($C$37:$M$37, MATCH(F12, $C$36:$M$36, 1)+1)/100))</f>
        <v>3.2000000000000002E-3</v>
      </c>
      <c r="K12" s="24">
        <f>IF(F12&lt;=$C$36, $C$37/100, IF(F12&gt;=$M$36, ($M$37 - ($L$37-$M$37)/($M$36-$L$36)*(F12-$M$36))/100, H12 - (H12-J12)/(I12-G12)*(F12-G12)))</f>
        <v>3.7588838905454236E-3</v>
      </c>
      <c r="L12" s="25">
        <f>'3.CSDL Don Gia &amp; Delta Options'!$D$13</f>
        <v>2.9499999999999999E-3</v>
      </c>
      <c r="M12" s="25">
        <f>K12-L12</f>
        <v>8.0888389054542369E-4</v>
      </c>
      <c r="N12" s="10" t="str">
        <f>IF(F12&lt;=$C$36, "Mốc tối thiểu (" &amp; $C$36 &amp; " tỷ)", IF(F12&gt;=$M$36, "Ngoại suy trên mốc " &amp; $M$36 &amp; " tỷ", "Nội suy giữa " &amp; G12 &amp; " và " &amp; I12 &amp; " tỷ"))</f>
        <v>Nội suy giữa 200 và 500 tỷ</v>
      </c>
    </row>
    <row r="13" spans="2:14" ht="22" customHeight="1" x14ac:dyDescent="0.35">
      <c r="B13" s="10">
        <v>6</v>
      </c>
      <c r="C13" s="11" t="s">
        <v>435</v>
      </c>
      <c r="D13" s="10" t="s">
        <v>436</v>
      </c>
      <c r="E13" s="11" t="s">
        <v>427</v>
      </c>
      <c r="F13" s="23">
        <f>'1.Bang Tong Hop TMDT'!K8 / 1.1 / 1000000000</f>
        <v>2160.2654952718181</v>
      </c>
      <c r="G13" s="12">
        <f>IF(F13&lt;=$C$40, $C$40, INDEX($C$40:$N$40, MATCH(F13, $C$40:$N$40, 1)))</f>
        <v>2000</v>
      </c>
      <c r="H13" s="18">
        <f>IF(F13&lt;=$C$40, $C$41/100, INDEX($C$41:$N$41, MATCH(F13, $C$40:$N$40, 1))/100)</f>
        <v>3.0999999999999999E-3</v>
      </c>
      <c r="I13" s="12">
        <f>IF(F13&lt;=$C$40, $D$40, IF(F13&gt;=$N$40, $N$40, INDEX($C$40:$N$40, MATCH(F13, $C$40:$N$40, 1)+1)))</f>
        <v>5000</v>
      </c>
      <c r="J13" s="18">
        <f>IF(F13&lt;=$C$40, $D$41/100, IF(F13&gt;=$N$40, $N$41/100, INDEX($C$41:$N$41, MATCH(F13, $C$40:$N$40, 1)+1)/100))</f>
        <v>2.5999999999999999E-3</v>
      </c>
      <c r="K13" s="24">
        <f>IF(F13&lt;=$C$40, $C$41/100, IF(F13&gt;=$N$40, ($N$41 - ($M$41-$N$41)/($N$40-$M$40)*(F13-$N$40))/100, H13 - (H13-J13)/(I13-G13)*(F13-G13)))</f>
        <v>3.0732890841213634E-3</v>
      </c>
      <c r="L13" s="10" t="s">
        <v>437</v>
      </c>
      <c r="M13" s="10" t="s">
        <v>438</v>
      </c>
      <c r="N13" s="10" t="str">
        <f>IF(F13&lt;=$C$40, "Mốc tối thiểu (" &amp; $C$40 &amp; " tỷ)", IF(F13&gt;=$N$40, "Ngoại suy trên mốc " &amp; $N$40 &amp; " tỷ", "Nội suy giữa " &amp; G13 &amp; " và " &amp; I13 &amp; " tỷ"))</f>
        <v>Nội suy giữa 2000 và 5000 tỷ</v>
      </c>
    </row>
    <row r="14" spans="2:14" ht="22" customHeight="1" x14ac:dyDescent="0.35">
      <c r="B14" s="10">
        <v>7</v>
      </c>
      <c r="C14" s="11" t="s">
        <v>439</v>
      </c>
      <c r="D14" s="10" t="s">
        <v>440</v>
      </c>
      <c r="E14" s="11" t="s">
        <v>427</v>
      </c>
      <c r="F14" s="23">
        <f>'1.Bang Tong Hop TMDT'!K8 / 1.1 / 1000000000</f>
        <v>2160.2654952718181</v>
      </c>
      <c r="G14" s="12">
        <f>IF(F14&lt;=$C$44, $C$44, INDEX($C$44:$N$44, MATCH(F14, $C$44:$N$44, 1)))</f>
        <v>2000</v>
      </c>
      <c r="H14" s="18">
        <f>IF(F14&lt;=$C$44, $C$45/100, INDEX($C$45:$N$45, MATCH(F14, $C$44:$N$44, 1))/100)</f>
        <v>4.4999999999999999E-4</v>
      </c>
      <c r="I14" s="12">
        <f>IF(F14&lt;=$C$44, $D$44, IF(F14&gt;=$N$44, $N$44, INDEX($C$44:$N$44, MATCH(F14, $C$44:$N$44, 1)+1)))</f>
        <v>5000</v>
      </c>
      <c r="J14" s="18">
        <f>IF(F14&lt;=$C$44, $D$45/100, IF(F14&gt;=$N$44, $N$45/100, INDEX($C$45:$N$45, MATCH(F14, $C$44:$N$44, 1)+1)/100))</f>
        <v>3.7999999999999997E-4</v>
      </c>
      <c r="K14" s="24">
        <f>IF(F14&lt;=$C$44, $C$45/100, IF(F14&gt;=$N$44, ($N$45 - ($M$45-$N$45)/($N$44-$M$44)*(F14-$N$44))/100, H14 - (H14-J14)/(I14-G14)*(F14-G14)))</f>
        <v>4.4626047177699087E-4</v>
      </c>
      <c r="L14" s="10" t="s">
        <v>441</v>
      </c>
      <c r="M14" s="10" t="s">
        <v>438</v>
      </c>
      <c r="N14" s="10" t="str">
        <f>IF(F14&lt;=$C$44, "Mốc tối thiểu (" &amp; $C$44 &amp; " tỷ)", IF(F14&gt;=$N$44, "Ngoại suy trên mốc " &amp; $N$44 &amp; " tỷ", "Nội suy giữa " &amp; G14 &amp; " và " &amp; I14 &amp; " tỷ"))</f>
        <v>Nội suy giữa 2000 và 5000 tỷ</v>
      </c>
    </row>
    <row r="17" spans="2:14" x14ac:dyDescent="0.35">
      <c r="B17" s="3" t="s">
        <v>442</v>
      </c>
    </row>
    <row r="19" spans="2:14" ht="20" customHeight="1" x14ac:dyDescent="0.35">
      <c r="B19" s="3" t="s">
        <v>443</v>
      </c>
    </row>
    <row r="20" spans="2:14" ht="18" customHeight="1" x14ac:dyDescent="0.35">
      <c r="B20" s="26" t="s">
        <v>444</v>
      </c>
      <c r="C20" s="12">
        <v>10</v>
      </c>
      <c r="D20" s="12">
        <v>20</v>
      </c>
      <c r="E20" s="12">
        <v>50</v>
      </c>
      <c r="F20" s="12">
        <v>100</v>
      </c>
      <c r="G20" s="12">
        <v>200</v>
      </c>
      <c r="H20" s="12">
        <v>500</v>
      </c>
      <c r="I20" s="12">
        <v>1000</v>
      </c>
      <c r="J20" s="12">
        <v>2000</v>
      </c>
      <c r="K20" s="12">
        <v>5000</v>
      </c>
      <c r="L20" s="12">
        <v>10000</v>
      </c>
      <c r="M20" s="12">
        <v>20000</v>
      </c>
      <c r="N20" s="12">
        <v>30000</v>
      </c>
    </row>
    <row r="21" spans="2:14" ht="18" customHeight="1" x14ac:dyDescent="0.35">
      <c r="B21" s="26" t="s">
        <v>445</v>
      </c>
      <c r="C21" s="27">
        <v>3.2759999999999998</v>
      </c>
      <c r="D21" s="27">
        <v>2.766</v>
      </c>
      <c r="E21" s="27">
        <v>2.109</v>
      </c>
      <c r="F21" s="27">
        <v>1.6359999999999999</v>
      </c>
      <c r="G21" s="27">
        <v>1.341</v>
      </c>
      <c r="H21" s="27">
        <v>1.161</v>
      </c>
      <c r="I21" s="27">
        <v>0.998</v>
      </c>
      <c r="J21" s="27">
        <v>0.95</v>
      </c>
      <c r="K21" s="27">
        <v>0.81</v>
      </c>
      <c r="L21" s="27">
        <v>0.63</v>
      </c>
      <c r="M21" s="27">
        <v>0.44</v>
      </c>
      <c r="N21" s="27">
        <v>0.35</v>
      </c>
    </row>
    <row r="23" spans="2:14" ht="20" customHeight="1" x14ac:dyDescent="0.35">
      <c r="B23" s="3" t="s">
        <v>446</v>
      </c>
    </row>
    <row r="24" spans="2:14" ht="18" customHeight="1" x14ac:dyDescent="0.35">
      <c r="B24" s="26" t="s">
        <v>444</v>
      </c>
      <c r="C24" s="12">
        <v>10</v>
      </c>
      <c r="D24" s="12">
        <v>20</v>
      </c>
      <c r="E24" s="12">
        <v>50</v>
      </c>
      <c r="F24" s="12">
        <v>100</v>
      </c>
      <c r="G24" s="12">
        <v>200</v>
      </c>
      <c r="H24" s="12">
        <v>500</v>
      </c>
      <c r="I24" s="12">
        <v>1000</v>
      </c>
      <c r="J24" s="12">
        <v>2000</v>
      </c>
      <c r="K24" s="12">
        <v>5000</v>
      </c>
      <c r="L24" s="12">
        <v>10000</v>
      </c>
      <c r="M24" s="12">
        <v>15000</v>
      </c>
    </row>
    <row r="25" spans="2:14" ht="18" customHeight="1" x14ac:dyDescent="0.35">
      <c r="B25" s="26" t="s">
        <v>445</v>
      </c>
      <c r="C25" s="27">
        <v>0.17</v>
      </c>
      <c r="D25" s="27">
        <v>0.14399999999999999</v>
      </c>
      <c r="E25" s="27">
        <v>0.109</v>
      </c>
      <c r="F25" s="27">
        <v>8.4000000000000005E-2</v>
      </c>
      <c r="G25" s="27">
        <v>6.8000000000000005E-2</v>
      </c>
      <c r="H25" s="27">
        <v>5.7000000000000002E-2</v>
      </c>
      <c r="I25" s="27">
        <v>4.8000000000000001E-2</v>
      </c>
      <c r="J25" s="27">
        <v>4.4999999999999998E-2</v>
      </c>
      <c r="K25" s="27">
        <v>3.7999999999999999E-2</v>
      </c>
      <c r="L25" s="27">
        <v>2.9000000000000001E-2</v>
      </c>
      <c r="M25" s="27">
        <v>2.3E-2</v>
      </c>
    </row>
    <row r="27" spans="2:14" ht="20" customHeight="1" x14ac:dyDescent="0.35">
      <c r="B27" s="3" t="s">
        <v>447</v>
      </c>
    </row>
    <row r="28" spans="2:14" ht="18" customHeight="1" x14ac:dyDescent="0.35">
      <c r="B28" s="26" t="s">
        <v>444</v>
      </c>
      <c r="C28" s="12">
        <v>10</v>
      </c>
      <c r="D28" s="12">
        <v>20</v>
      </c>
      <c r="E28" s="12">
        <v>50</v>
      </c>
      <c r="F28" s="12">
        <v>100</v>
      </c>
      <c r="G28" s="12">
        <v>200</v>
      </c>
      <c r="H28" s="12">
        <v>500</v>
      </c>
      <c r="I28" s="12">
        <v>1000</v>
      </c>
      <c r="J28" s="12">
        <v>2000</v>
      </c>
      <c r="K28" s="12">
        <v>5000</v>
      </c>
      <c r="L28" s="12">
        <v>10000</v>
      </c>
      <c r="M28" s="12">
        <v>15000</v>
      </c>
    </row>
    <row r="29" spans="2:14" ht="18" customHeight="1" x14ac:dyDescent="0.35">
      <c r="B29" s="26" t="s">
        <v>445</v>
      </c>
      <c r="C29" s="27">
        <v>0.18</v>
      </c>
      <c r="D29" s="27">
        <v>0.151</v>
      </c>
      <c r="E29" s="27">
        <v>0.114</v>
      </c>
      <c r="F29" s="27">
        <v>8.7999999999999995E-2</v>
      </c>
      <c r="G29" s="27">
        <v>7.0999999999999994E-2</v>
      </c>
      <c r="H29" s="27">
        <v>5.8999999999999997E-2</v>
      </c>
      <c r="I29" s="27">
        <v>0.05</v>
      </c>
      <c r="J29" s="27">
        <v>4.5999999999999999E-2</v>
      </c>
      <c r="K29" s="27">
        <v>3.9E-2</v>
      </c>
      <c r="L29" s="27">
        <v>0.03</v>
      </c>
      <c r="M29" s="27">
        <v>2.4E-2</v>
      </c>
    </row>
    <row r="31" spans="2:14" ht="20" customHeight="1" x14ac:dyDescent="0.35">
      <c r="B31" s="3" t="s">
        <v>448</v>
      </c>
    </row>
    <row r="32" spans="2:14" ht="18" customHeight="1" x14ac:dyDescent="0.35">
      <c r="B32" s="26" t="s">
        <v>444</v>
      </c>
      <c r="C32" s="12">
        <v>10</v>
      </c>
      <c r="D32" s="12">
        <v>20</v>
      </c>
      <c r="E32" s="12">
        <v>50</v>
      </c>
      <c r="F32" s="12">
        <v>100</v>
      </c>
      <c r="G32" s="12">
        <v>200</v>
      </c>
      <c r="H32" s="12">
        <v>500</v>
      </c>
      <c r="I32" s="12">
        <v>1000</v>
      </c>
      <c r="J32" s="12">
        <v>2000</v>
      </c>
      <c r="K32" s="12">
        <v>5000</v>
      </c>
      <c r="L32" s="12">
        <v>10000</v>
      </c>
      <c r="M32" s="12">
        <v>15000</v>
      </c>
    </row>
    <row r="33" spans="2:14" ht="18" customHeight="1" x14ac:dyDescent="0.35">
      <c r="B33" s="26" t="s">
        <v>445</v>
      </c>
      <c r="C33" s="27">
        <v>2.4500000000000002</v>
      </c>
      <c r="D33" s="27">
        <v>2.15</v>
      </c>
      <c r="E33" s="27">
        <v>1.7</v>
      </c>
      <c r="F33" s="27">
        <v>1.34</v>
      </c>
      <c r="G33" s="27">
        <v>1.1000000000000001</v>
      </c>
      <c r="H33" s="27">
        <v>0.9</v>
      </c>
      <c r="I33" s="27">
        <v>0.77</v>
      </c>
      <c r="J33" s="27">
        <v>0.7</v>
      </c>
      <c r="K33" s="27">
        <v>0.57999999999999996</v>
      </c>
      <c r="L33" s="27">
        <v>0.45</v>
      </c>
      <c r="M33" s="27">
        <v>0.35</v>
      </c>
    </row>
    <row r="35" spans="2:14" ht="20" customHeight="1" x14ac:dyDescent="0.35">
      <c r="B35" s="3" t="s">
        <v>449</v>
      </c>
    </row>
    <row r="36" spans="2:14" ht="18" customHeight="1" x14ac:dyDescent="0.35">
      <c r="B36" s="26" t="s">
        <v>444</v>
      </c>
      <c r="C36" s="12">
        <v>10</v>
      </c>
      <c r="D36" s="12">
        <v>20</v>
      </c>
      <c r="E36" s="12">
        <v>50</v>
      </c>
      <c r="F36" s="12">
        <v>100</v>
      </c>
      <c r="G36" s="12">
        <v>200</v>
      </c>
      <c r="H36" s="12">
        <v>500</v>
      </c>
      <c r="I36" s="12">
        <v>1000</v>
      </c>
      <c r="J36" s="12">
        <v>2000</v>
      </c>
      <c r="K36" s="12">
        <v>5000</v>
      </c>
      <c r="L36" s="12">
        <v>10000</v>
      </c>
      <c r="M36" s="12">
        <v>15000</v>
      </c>
    </row>
    <row r="37" spans="2:14" ht="18" customHeight="1" x14ac:dyDescent="0.35">
      <c r="B37" s="26" t="s">
        <v>445</v>
      </c>
      <c r="C37" s="27">
        <v>0.85</v>
      </c>
      <c r="D37" s="27">
        <v>0.75</v>
      </c>
      <c r="E37" s="27">
        <v>0.6</v>
      </c>
      <c r="F37" s="27">
        <v>0.48</v>
      </c>
      <c r="G37" s="27">
        <v>0.39</v>
      </c>
      <c r="H37" s="27">
        <v>0.32</v>
      </c>
      <c r="I37" s="27">
        <v>0.27</v>
      </c>
      <c r="J37" s="27">
        <v>0.24</v>
      </c>
      <c r="K37" s="27">
        <v>0.19</v>
      </c>
      <c r="L37" s="27">
        <v>0.14000000000000001</v>
      </c>
      <c r="M37" s="27">
        <v>0.1</v>
      </c>
    </row>
    <row r="39" spans="2:14" ht="20" customHeight="1" x14ac:dyDescent="0.35">
      <c r="B39" s="3" t="s">
        <v>450</v>
      </c>
    </row>
    <row r="40" spans="2:14" ht="18" customHeight="1" x14ac:dyDescent="0.35">
      <c r="B40" s="26" t="s">
        <v>444</v>
      </c>
      <c r="C40" s="12">
        <v>10</v>
      </c>
      <c r="D40" s="12">
        <v>20</v>
      </c>
      <c r="E40" s="12">
        <v>50</v>
      </c>
      <c r="F40" s="12">
        <v>100</v>
      </c>
      <c r="G40" s="12">
        <v>200</v>
      </c>
      <c r="H40" s="12">
        <v>500</v>
      </c>
      <c r="I40" s="12">
        <v>1000</v>
      </c>
      <c r="J40" s="12">
        <v>2000</v>
      </c>
      <c r="K40" s="12">
        <v>5000</v>
      </c>
      <c r="L40" s="12">
        <v>10000</v>
      </c>
      <c r="M40" s="12">
        <v>20000</v>
      </c>
      <c r="N40" s="12">
        <v>30000</v>
      </c>
    </row>
    <row r="41" spans="2:14" ht="18" customHeight="1" x14ac:dyDescent="0.35">
      <c r="B41" s="26" t="s">
        <v>445</v>
      </c>
      <c r="C41" s="27">
        <v>1.1499999999999999</v>
      </c>
      <c r="D41" s="27">
        <v>0.98</v>
      </c>
      <c r="E41" s="27">
        <v>0.76</v>
      </c>
      <c r="F41" s="27">
        <v>0.59</v>
      </c>
      <c r="G41" s="27">
        <v>0.48</v>
      </c>
      <c r="H41" s="27">
        <v>0.4</v>
      </c>
      <c r="I41" s="27">
        <v>0.34</v>
      </c>
      <c r="J41" s="27">
        <v>0.31</v>
      </c>
      <c r="K41" s="27">
        <v>0.26</v>
      </c>
      <c r="L41" s="27">
        <v>0.2</v>
      </c>
      <c r="M41" s="27">
        <v>0.14000000000000001</v>
      </c>
      <c r="N41" s="27">
        <v>0.11</v>
      </c>
    </row>
    <row r="43" spans="2:14" ht="20" customHeight="1" x14ac:dyDescent="0.35">
      <c r="B43" s="3" t="s">
        <v>451</v>
      </c>
    </row>
    <row r="44" spans="2:14" ht="18" customHeight="1" x14ac:dyDescent="0.35">
      <c r="B44" s="26" t="s">
        <v>444</v>
      </c>
      <c r="C44" s="12">
        <v>10</v>
      </c>
      <c r="D44" s="12">
        <v>20</v>
      </c>
      <c r="E44" s="12">
        <v>50</v>
      </c>
      <c r="F44" s="12">
        <v>100</v>
      </c>
      <c r="G44" s="12">
        <v>200</v>
      </c>
      <c r="H44" s="12">
        <v>500</v>
      </c>
      <c r="I44" s="12">
        <v>1000</v>
      </c>
      <c r="J44" s="12">
        <v>2000</v>
      </c>
      <c r="K44" s="12">
        <v>5000</v>
      </c>
      <c r="L44" s="12">
        <v>10000</v>
      </c>
      <c r="M44" s="12">
        <v>20000</v>
      </c>
      <c r="N44" s="12">
        <v>30000</v>
      </c>
    </row>
    <row r="45" spans="2:14" ht="18" customHeight="1" x14ac:dyDescent="0.35">
      <c r="B45" s="26" t="s">
        <v>445</v>
      </c>
      <c r="C45" s="27">
        <v>0.17</v>
      </c>
      <c r="D45" s="27">
        <v>0.14399999999999999</v>
      </c>
      <c r="E45" s="27">
        <v>0.109</v>
      </c>
      <c r="F45" s="27">
        <v>8.4000000000000005E-2</v>
      </c>
      <c r="G45" s="27">
        <v>6.8000000000000005E-2</v>
      </c>
      <c r="H45" s="27">
        <v>5.7000000000000002E-2</v>
      </c>
      <c r="I45" s="27">
        <v>4.8000000000000001E-2</v>
      </c>
      <c r="J45" s="27">
        <v>4.4999999999999998E-2</v>
      </c>
      <c r="K45" s="27">
        <v>3.7999999999999999E-2</v>
      </c>
      <c r="L45" s="27">
        <v>2.9000000000000001E-2</v>
      </c>
      <c r="M45" s="27">
        <v>0.02</v>
      </c>
      <c r="N45" s="27">
        <v>1.6E-2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1.Bang Tong Hop TMDT</vt:lpstr>
      <vt:lpstr>3.CSDL Don Gia &amp; Delta Options</vt:lpstr>
      <vt:lpstr>2.Tieu Chuan Ban Giao</vt:lpstr>
      <vt:lpstr>4.Doi Soat Khai Toan TMDT</vt:lpstr>
      <vt:lpstr>5.Noi Suy Dinh Muc TT36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Nguyễn Quốc Bảo</cp:lastModifiedBy>
  <dcterms:created xsi:type="dcterms:W3CDTF">2026-10-02T10:38:27Z</dcterms:created>
  <dcterms:modified xsi:type="dcterms:W3CDTF">2026-10-02T10:38:28Z</dcterms:modified>
</cp:coreProperties>
</file>